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/>
  <mc:AlternateContent xmlns:mc="http://schemas.openxmlformats.org/markup-compatibility/2006">
    <mc:Choice Requires="x15">
      <x15ac:absPath xmlns:x15ac="http://schemas.microsoft.com/office/spreadsheetml/2010/11/ac" url="https://fdf.sharepoint.com/sites/hovedbestyrelsen/Hovedbestyrelsen/2023/04_Maj/"/>
    </mc:Choice>
  </mc:AlternateContent>
  <xr:revisionPtr revIDLastSave="0" documentId="8_{4712F932-E2F5-49CD-8C4F-E87B17DDEB61}" xr6:coauthVersionLast="47" xr6:coauthVersionMax="47" xr10:uidLastSave="{00000000-0000-0000-0000-000000000000}"/>
  <bookViews>
    <workbookView xWindow="-100" yWindow="500" windowWidth="30940" windowHeight="16120" activeTab="4" xr2:uid="{00000000-000D-0000-FFFF-FFFF00000000}"/>
  </bookViews>
  <sheets>
    <sheet name="Budget m. LL21" sheetId="16" state="hidden" r:id="rId1"/>
    <sheet name="Ark1" sheetId="17" state="hidden" r:id="rId2"/>
    <sheet name="Budget m. LL22" sheetId="19" state="hidden" r:id="rId3"/>
    <sheet name="Udkast til landsmødeversion" sheetId="20" state="hidden" r:id="rId4"/>
    <sheet name="Budgetopfølgning" sheetId="21" r:id="rId5"/>
    <sheet name="råbalanceQ1 2023" sheetId="32" r:id="rId6"/>
    <sheet name="råbalance2022" sheetId="31" r:id="rId7"/>
    <sheet name="Råbalance Q3" sheetId="30" r:id="rId8"/>
    <sheet name="råbalance" sheetId="27" r:id="rId9"/>
    <sheet name="råbalance Q1" sheetId="26" r:id="rId10"/>
    <sheet name="Råbalance 310722" sheetId="29" r:id="rId11"/>
    <sheet name="Projektfiltre Q1" sheetId="28" r:id="rId12"/>
    <sheet name="Coronaøkonomi" sheetId="22" state="hidden" r:id="rId13"/>
    <sheet name="55 Nord" sheetId="25" state="hidden" r:id="rId14"/>
    <sheet name="Budget for landsmødet" sheetId="23" state="hidden" r:id="rId15"/>
    <sheet name="Stævner og lejre + kurser" sheetId="24" state="hidden" r:id="rId16"/>
    <sheet name="Budgetberegninger" sheetId="18" state="hidden" r:id="rId17"/>
    <sheet name="Råbalance 2019" sheetId="15" state="hidden" r:id="rId18"/>
    <sheet name="Råbalance 2018" sheetId="14" state="hidden" r:id="rId19"/>
    <sheet name="Råbalance 2017" sheetId="13" state="hidden" r:id="rId20"/>
    <sheet name="Råbalance 2016" sheetId="12" state="hidden" r:id="rId21"/>
    <sheet name="Råbalance 2015" sheetId="11" state="hidden" r:id="rId22"/>
    <sheet name="Råbalance 2014" sheetId="10" state="hidden" r:id="rId23"/>
    <sheet name="Råbalance 2013" sheetId="9" state="hidden" r:id="rId24"/>
    <sheet name="Råbalance 2012" sheetId="8" state="hidden" r:id="rId25"/>
    <sheet name="Råbalance 2011" sheetId="7" state="hidden" r:id="rId26"/>
    <sheet name="noter" sheetId="4" state="hidden" r:id="rId27"/>
  </sheets>
  <externalReferences>
    <externalReference r:id="rId28"/>
    <externalReference r:id="rId29"/>
  </externalReferences>
  <definedNames>
    <definedName name="_xlnm._FilterDatabase" localSheetId="22" hidden="1">'Råbalance 2014'!$A$2:$Q$598</definedName>
    <definedName name="_xlnm._FilterDatabase" localSheetId="9" hidden="1">'råbalance Q1'!$A$1:$M$628</definedName>
    <definedName name="Print_Area" localSheetId="4">Budgetopfølgning!$A$1:$Q$148</definedName>
    <definedName name="X" localSheetId="4">Budgetopfølgning!$A$2:$K$102</definedName>
  </definedNames>
  <calcPr calcId="191028"/>
  <pivotCaches>
    <pivotCache cacheId="3" r:id="rId30"/>
  </pivotCache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2" i="21" l="1"/>
  <c r="V96" i="21" s="1"/>
  <c r="R92" i="21"/>
  <c r="W30" i="21"/>
  <c r="V90" i="21"/>
  <c r="W88" i="21"/>
  <c r="V88" i="21"/>
  <c r="N78" i="21"/>
  <c r="N77" i="21"/>
  <c r="U92" i="21"/>
  <c r="T92" i="21"/>
  <c r="T96" i="21"/>
  <c r="U96" i="21"/>
  <c r="V86" i="21"/>
  <c r="W91" i="21"/>
  <c r="W90" i="21"/>
  <c r="W77" i="21"/>
  <c r="V91" i="21"/>
  <c r="U91" i="21"/>
  <c r="U90" i="21"/>
  <c r="V65" i="21"/>
  <c r="V46" i="21"/>
  <c r="V42" i="21"/>
  <c r="V37" i="21"/>
  <c r="W35" i="21"/>
  <c r="W36" i="21"/>
  <c r="W38" i="21"/>
  <c r="W39" i="21"/>
  <c r="W40" i="21"/>
  <c r="W41" i="21"/>
  <c r="W44" i="21"/>
  <c r="W45" i="21"/>
  <c r="W48" i="21"/>
  <c r="W64" i="21"/>
  <c r="W65" i="21"/>
  <c r="W67" i="21"/>
  <c r="W70" i="21"/>
  <c r="W74" i="21"/>
  <c r="W75" i="21"/>
  <c r="W78" i="21"/>
  <c r="W79" i="21"/>
  <c r="W34" i="21"/>
  <c r="W28" i="21"/>
  <c r="W25" i="21"/>
  <c r="W22" i="21"/>
  <c r="W23" i="21"/>
  <c r="W24" i="21"/>
  <c r="W21" i="21"/>
  <c r="W20" i="21"/>
  <c r="W13" i="21"/>
  <c r="W14" i="21"/>
  <c r="W15" i="21"/>
  <c r="W16" i="21"/>
  <c r="W17" i="21"/>
  <c r="W12" i="21"/>
  <c r="W9" i="21"/>
  <c r="V26" i="21"/>
  <c r="V18" i="21"/>
  <c r="V10" i="21"/>
  <c r="V82" i="21"/>
  <c r="W82" i="21" s="1"/>
  <c r="V78" i="21"/>
  <c r="V79" i="21"/>
  <c r="V77" i="21"/>
  <c r="V76" i="21"/>
  <c r="W76" i="21" s="1"/>
  <c r="V75" i="21"/>
  <c r="V74" i="21"/>
  <c r="V73" i="21"/>
  <c r="W73" i="21" s="1"/>
  <c r="L26" i="21"/>
  <c r="L30" i="21" s="1"/>
  <c r="L25" i="21"/>
  <c r="N24" i="21"/>
  <c r="V69" i="21"/>
  <c r="W69" i="21" s="1"/>
  <c r="V68" i="21"/>
  <c r="V71" i="21" s="1"/>
  <c r="V64" i="21"/>
  <c r="V63" i="21"/>
  <c r="W63" i="21" s="1"/>
  <c r="V62" i="21"/>
  <c r="W62" i="21" s="1"/>
  <c r="V61" i="21"/>
  <c r="V66" i="21" s="1"/>
  <c r="V49" i="21"/>
  <c r="W49" i="21" s="1"/>
  <c r="V50" i="21"/>
  <c r="W50" i="21" s="1"/>
  <c r="V51" i="21"/>
  <c r="W51" i="21" s="1"/>
  <c r="V52" i="21"/>
  <c r="W52" i="21" s="1"/>
  <c r="V53" i="21"/>
  <c r="W53" i="21" s="1"/>
  <c r="V54" i="21"/>
  <c r="W54" i="21" s="1"/>
  <c r="V55" i="21"/>
  <c r="W55" i="21" s="1"/>
  <c r="V56" i="21"/>
  <c r="W56" i="21" s="1"/>
  <c r="V57" i="21"/>
  <c r="W57" i="21" s="1"/>
  <c r="V58" i="21"/>
  <c r="W58" i="21" s="1"/>
  <c r="V48" i="21"/>
  <c r="V59" i="21" s="1"/>
  <c r="M35" i="21"/>
  <c r="W92" i="21" l="1"/>
  <c r="W96" i="21" s="1"/>
  <c r="W71" i="21"/>
  <c r="W66" i="21"/>
  <c r="W37" i="21"/>
  <c r="V30" i="21"/>
  <c r="W61" i="21"/>
  <c r="W68" i="21"/>
  <c r="V80" i="21"/>
  <c r="V84" i="21" s="1"/>
  <c r="S77" i="21"/>
  <c r="U85" i="21"/>
  <c r="U83" i="21"/>
  <c r="U81" i="21"/>
  <c r="U78" i="21"/>
  <c r="U75" i="21"/>
  <c r="U72" i="21"/>
  <c r="U63" i="21"/>
  <c r="U43" i="21"/>
  <c r="U38" i="21"/>
  <c r="U29" i="21"/>
  <c r="U27" i="21"/>
  <c r="U25" i="21"/>
  <c r="U24" i="21"/>
  <c r="U20" i="21"/>
  <c r="U16" i="21"/>
  <c r="S91" i="21"/>
  <c r="S92" i="21" s="1"/>
  <c r="S79" i="21"/>
  <c r="S73" i="21"/>
  <c r="S80" i="21" s="1"/>
  <c r="S69" i="21"/>
  <c r="S70" i="21"/>
  <c r="S68" i="21"/>
  <c r="S64" i="21"/>
  <c r="S65" i="21"/>
  <c r="U61" i="21"/>
  <c r="S49" i="21"/>
  <c r="S50" i="21"/>
  <c r="U50" i="21" s="1"/>
  <c r="S51" i="21"/>
  <c r="U51" i="21" s="1"/>
  <c r="S52" i="21"/>
  <c r="U52" i="21" s="1"/>
  <c r="S53" i="21"/>
  <c r="U53" i="21" s="1"/>
  <c r="S54" i="21"/>
  <c r="S55" i="21"/>
  <c r="S56" i="21"/>
  <c r="S57" i="21"/>
  <c r="S58" i="21"/>
  <c r="S48" i="21"/>
  <c r="S45" i="21"/>
  <c r="S44" i="21"/>
  <c r="S40" i="21"/>
  <c r="S41" i="21"/>
  <c r="S39" i="21"/>
  <c r="S36" i="21"/>
  <c r="S35" i="21"/>
  <c r="S34" i="21"/>
  <c r="S28" i="21"/>
  <c r="S21" i="21"/>
  <c r="S26" i="21" s="1"/>
  <c r="S18" i="21"/>
  <c r="R10" i="21"/>
  <c r="W10" i="21" s="1"/>
  <c r="S9" i="21"/>
  <c r="S10" i="21" s="1"/>
  <c r="U10" i="21" s="1"/>
  <c r="T146" i="21"/>
  <c r="T91" i="21"/>
  <c r="T88" i="21"/>
  <c r="T40" i="21"/>
  <c r="T63" i="21"/>
  <c r="T62" i="21"/>
  <c r="U62" i="21" s="1"/>
  <c r="T56" i="21"/>
  <c r="T57" i="21"/>
  <c r="U57" i="21" s="1"/>
  <c r="T54" i="21"/>
  <c r="T55" i="21"/>
  <c r="T49" i="21"/>
  <c r="T48" i="21"/>
  <c r="U48" i="21" s="1"/>
  <c r="G988" i="32"/>
  <c r="G983" i="32"/>
  <c r="G688" i="32"/>
  <c r="G682" i="32"/>
  <c r="G655" i="32"/>
  <c r="G650" i="32"/>
  <c r="G641" i="32"/>
  <c r="T82" i="21"/>
  <c r="U82" i="21" s="1"/>
  <c r="T79" i="21"/>
  <c r="T77" i="21"/>
  <c r="T76" i="21"/>
  <c r="U76" i="21" s="1"/>
  <c r="T74" i="21"/>
  <c r="U74" i="21" s="1"/>
  <c r="T73" i="21"/>
  <c r="T70" i="21"/>
  <c r="T69" i="21"/>
  <c r="U69" i="21" s="1"/>
  <c r="T68" i="21"/>
  <c r="U68" i="21" s="1"/>
  <c r="T65" i="21"/>
  <c r="T64" i="21"/>
  <c r="U64" i="21" s="1"/>
  <c r="T44" i="21"/>
  <c r="T45" i="21"/>
  <c r="T41" i="21"/>
  <c r="T39" i="21"/>
  <c r="T36" i="21"/>
  <c r="T35" i="21"/>
  <c r="U35" i="21" s="1"/>
  <c r="T34" i="21"/>
  <c r="U34" i="21" s="1"/>
  <c r="T28" i="21"/>
  <c r="T23" i="21"/>
  <c r="U23" i="21" s="1"/>
  <c r="T22" i="21"/>
  <c r="U22" i="21" s="1"/>
  <c r="T21" i="21"/>
  <c r="T17" i="21"/>
  <c r="U17" i="21" s="1"/>
  <c r="T15" i="21"/>
  <c r="U15" i="21" s="1"/>
  <c r="U14" i="21"/>
  <c r="U13" i="21"/>
  <c r="T12" i="21"/>
  <c r="U12" i="21" s="1"/>
  <c r="T9" i="21"/>
  <c r="T10" i="21" s="1"/>
  <c r="R80" i="21"/>
  <c r="R71" i="21"/>
  <c r="S71" i="21" s="1"/>
  <c r="R66" i="21"/>
  <c r="S66" i="21" s="1"/>
  <c r="R59" i="21"/>
  <c r="S59" i="21" s="1"/>
  <c r="R46" i="21"/>
  <c r="S46" i="21" s="1"/>
  <c r="R42" i="21"/>
  <c r="S42" i="21" s="1"/>
  <c r="R37" i="21"/>
  <c r="R26" i="21"/>
  <c r="W26" i="21" s="1"/>
  <c r="R18" i="21"/>
  <c r="W18" i="21" s="1"/>
  <c r="Q12" i="21"/>
  <c r="M147" i="21"/>
  <c r="M91" i="21"/>
  <c r="M88" i="21"/>
  <c r="M76" i="21"/>
  <c r="M77" i="21"/>
  <c r="M79" i="21"/>
  <c r="M75" i="21"/>
  <c r="M74" i="21"/>
  <c r="M73" i="21"/>
  <c r="M70" i="21"/>
  <c r="M69" i="21"/>
  <c r="M68" i="21"/>
  <c r="M64" i="21"/>
  <c r="M66" i="21" s="1"/>
  <c r="M40" i="21"/>
  <c r="M36" i="21"/>
  <c r="M34" i="21"/>
  <c r="M23" i="21"/>
  <c r="M22" i="21"/>
  <c r="M21" i="21"/>
  <c r="M17" i="21"/>
  <c r="M15" i="21"/>
  <c r="M14" i="21"/>
  <c r="M13" i="21"/>
  <c r="M12" i="21"/>
  <c r="M9" i="21"/>
  <c r="N9" i="21" s="1"/>
  <c r="M145" i="21"/>
  <c r="P145" i="21" s="1"/>
  <c r="W46" i="21" l="1"/>
  <c r="U40" i="21"/>
  <c r="W42" i="21"/>
  <c r="W80" i="21"/>
  <c r="U36" i="21"/>
  <c r="S37" i="21"/>
  <c r="S84" i="21" s="1"/>
  <c r="U77" i="21"/>
  <c r="U65" i="21"/>
  <c r="W59" i="21"/>
  <c r="U44" i="21"/>
  <c r="U70" i="21"/>
  <c r="U45" i="21"/>
  <c r="U79" i="21"/>
  <c r="U28" i="21"/>
  <c r="M92" i="21"/>
  <c r="U49" i="21"/>
  <c r="U39" i="21"/>
  <c r="T26" i="21"/>
  <c r="U26" i="21" s="1"/>
  <c r="U41" i="21"/>
  <c r="U73" i="21"/>
  <c r="S30" i="21"/>
  <c r="U21" i="21"/>
  <c r="U9" i="21"/>
  <c r="T37" i="21"/>
  <c r="T59" i="21"/>
  <c r="U59" i="21" s="1"/>
  <c r="T71" i="21"/>
  <c r="U71" i="21" s="1"/>
  <c r="R84" i="21"/>
  <c r="W84" i="21" s="1"/>
  <c r="T66" i="21"/>
  <c r="U66" i="21" s="1"/>
  <c r="T46" i="21"/>
  <c r="U46" i="21" s="1"/>
  <c r="T18" i="21"/>
  <c r="T80" i="21"/>
  <c r="U80" i="21" s="1"/>
  <c r="T42" i="21"/>
  <c r="U42" i="21" s="1"/>
  <c r="R30" i="21"/>
  <c r="M80" i="21"/>
  <c r="J65" i="21"/>
  <c r="N53" i="21"/>
  <c r="N52" i="21"/>
  <c r="N51" i="21"/>
  <c r="N48" i="21"/>
  <c r="N49" i="21"/>
  <c r="N50" i="21"/>
  <c r="M10" i="21"/>
  <c r="P100" i="21"/>
  <c r="Q93" i="21"/>
  <c r="P88" i="21"/>
  <c r="Q88" i="21" s="1"/>
  <c r="Q87" i="21"/>
  <c r="Q89" i="21"/>
  <c r="Q97" i="21"/>
  <c r="Q98" i="21"/>
  <c r="Q147" i="21"/>
  <c r="Q145" i="21"/>
  <c r="Q146" i="21"/>
  <c r="U37" i="21" l="1"/>
  <c r="T30" i="21"/>
  <c r="U18" i="21"/>
  <c r="R86" i="21"/>
  <c r="R96" i="21" s="1"/>
  <c r="S86" i="21"/>
  <c r="T84" i="21"/>
  <c r="U84" i="21" s="1"/>
  <c r="M46" i="21"/>
  <c r="P45" i="21"/>
  <c r="Q35" i="21"/>
  <c r="Q36" i="21"/>
  <c r="Q38" i="21"/>
  <c r="Q39" i="21"/>
  <c r="Q40" i="21"/>
  <c r="Q41" i="21"/>
  <c r="Q43" i="21"/>
  <c r="Q44" i="21"/>
  <c r="Q47" i="21"/>
  <c r="Q48" i="21"/>
  <c r="Q49" i="21"/>
  <c r="Q50" i="21"/>
  <c r="Q51" i="21"/>
  <c r="Q52" i="21"/>
  <c r="Q53" i="21"/>
  <c r="Q57" i="21"/>
  <c r="Q61" i="21"/>
  <c r="Q62" i="21"/>
  <c r="Q63" i="21"/>
  <c r="Q64" i="21"/>
  <c r="Q65" i="21"/>
  <c r="Q67" i="21"/>
  <c r="Q68" i="21"/>
  <c r="Q69" i="21"/>
  <c r="Q70" i="21"/>
  <c r="Q72" i="21"/>
  <c r="Q73" i="21"/>
  <c r="Q74" i="21"/>
  <c r="Q75" i="21"/>
  <c r="Q76" i="21"/>
  <c r="Q77" i="21"/>
  <c r="Q78" i="21"/>
  <c r="Q79" i="21"/>
  <c r="Q81" i="21"/>
  <c r="Q34" i="21"/>
  <c r="Q20" i="21"/>
  <c r="Q21" i="21"/>
  <c r="Q22" i="21"/>
  <c r="Q23" i="21"/>
  <c r="Q24" i="21"/>
  <c r="Q25" i="21"/>
  <c r="Q27" i="21"/>
  <c r="Q28" i="21"/>
  <c r="Q29" i="21"/>
  <c r="Q100" i="21"/>
  <c r="P91" i="21"/>
  <c r="Q91" i="21" s="1"/>
  <c r="P82" i="21"/>
  <c r="Q82" i="21" s="1"/>
  <c r="P80" i="21"/>
  <c r="Q80" i="21" s="1"/>
  <c r="P71" i="21"/>
  <c r="Q71" i="21" s="1"/>
  <c r="P66" i="21"/>
  <c r="Q66" i="21" s="1"/>
  <c r="P59" i="21"/>
  <c r="Q59" i="21" s="1"/>
  <c r="P42" i="21"/>
  <c r="Q42" i="21" s="1"/>
  <c r="P37" i="21"/>
  <c r="Q37" i="21" s="1"/>
  <c r="P26" i="21"/>
  <c r="Q26" i="21" s="1"/>
  <c r="P17" i="21"/>
  <c r="Q17" i="21" s="1"/>
  <c r="P16" i="21"/>
  <c r="Q16" i="21" s="1"/>
  <c r="P15" i="21"/>
  <c r="Q15" i="21" s="1"/>
  <c r="P14" i="21"/>
  <c r="Q14" i="21" s="1"/>
  <c r="P13" i="21"/>
  <c r="Q13" i="21" s="1"/>
  <c r="P9" i="21"/>
  <c r="P10" i="21" s="1"/>
  <c r="Q10" i="21" s="1"/>
  <c r="U30" i="21" l="1"/>
  <c r="T86" i="21"/>
  <c r="U86" i="21" s="1"/>
  <c r="W86" i="21"/>
  <c r="T99" i="21"/>
  <c r="S96" i="21"/>
  <c r="S99" i="21" s="1"/>
  <c r="P46" i="21"/>
  <c r="Q46" i="21" s="1"/>
  <c r="P90" i="21"/>
  <c r="P18" i="21"/>
  <c r="Q18" i="21" s="1"/>
  <c r="Q9" i="21"/>
  <c r="Q45" i="21"/>
  <c r="P84" i="21" l="1"/>
  <c r="Q84" i="21" s="1"/>
  <c r="Q90" i="21"/>
  <c r="P92" i="21"/>
  <c r="Q92" i="21" s="1"/>
  <c r="P30" i="21"/>
  <c r="Q30" i="21" s="1"/>
  <c r="P86" i="21" l="1"/>
  <c r="Q86" i="21" s="1"/>
  <c r="N62" i="21"/>
  <c r="N66" i="21"/>
  <c r="N74" i="21"/>
  <c r="N79" i="21"/>
  <c r="N83" i="21"/>
  <c r="N34" i="21"/>
  <c r="N12" i="21"/>
  <c r="N13" i="21"/>
  <c r="N14" i="21"/>
  <c r="N15" i="21"/>
  <c r="N16" i="21"/>
  <c r="N20" i="21"/>
  <c r="N22" i="21"/>
  <c r="N23" i="21"/>
  <c r="N25" i="21"/>
  <c r="N27" i="21"/>
  <c r="N29" i="21"/>
  <c r="N38" i="21"/>
  <c r="N40" i="21"/>
  <c r="N43" i="21"/>
  <c r="N44" i="21"/>
  <c r="N45" i="21"/>
  <c r="N57" i="21"/>
  <c r="N65" i="21"/>
  <c r="N72" i="21"/>
  <c r="N81" i="21"/>
  <c r="N85" i="21"/>
  <c r="N64" i="21"/>
  <c r="N63" i="21"/>
  <c r="N61" i="21"/>
  <c r="M59" i="21"/>
  <c r="N59" i="21" s="1"/>
  <c r="N82" i="21"/>
  <c r="N75" i="21"/>
  <c r="N76" i="21"/>
  <c r="N73" i="21"/>
  <c r="N70" i="21"/>
  <c r="M71" i="21"/>
  <c r="N71" i="21" s="1"/>
  <c r="N68" i="21"/>
  <c r="N41" i="21"/>
  <c r="N36" i="21"/>
  <c r="M37" i="21"/>
  <c r="N37" i="21" s="1"/>
  <c r="N21" i="21"/>
  <c r="M18" i="21"/>
  <c r="N10" i="21"/>
  <c r="J35" i="21"/>
  <c r="K35" i="21" s="1"/>
  <c r="K36" i="21"/>
  <c r="K38" i="21"/>
  <c r="K41" i="21"/>
  <c r="K43" i="21"/>
  <c r="K47" i="21"/>
  <c r="K48" i="21"/>
  <c r="K49" i="21"/>
  <c r="K50" i="21"/>
  <c r="K51" i="21"/>
  <c r="K52" i="21"/>
  <c r="K53" i="21"/>
  <c r="K57" i="21"/>
  <c r="K60" i="21"/>
  <c r="K64" i="21"/>
  <c r="K67" i="21"/>
  <c r="K72" i="21"/>
  <c r="K77" i="21"/>
  <c r="K81" i="21"/>
  <c r="K83" i="21"/>
  <c r="J91" i="21"/>
  <c r="J82" i="21"/>
  <c r="J79" i="21"/>
  <c r="K79" i="21" s="1"/>
  <c r="J76" i="21"/>
  <c r="K76" i="21" s="1"/>
  <c r="J75" i="21"/>
  <c r="K75" i="21" s="1"/>
  <c r="J74" i="21"/>
  <c r="K74" i="21" s="1"/>
  <c r="J73" i="21"/>
  <c r="K73" i="21" s="1"/>
  <c r="J70" i="21"/>
  <c r="K70" i="21" s="1"/>
  <c r="J69" i="21"/>
  <c r="K69" i="21" s="1"/>
  <c r="K68" i="21"/>
  <c r="J63" i="21"/>
  <c r="K63" i="21" s="1"/>
  <c r="P229" i="27"/>
  <c r="K65" i="21"/>
  <c r="K62" i="21"/>
  <c r="O228" i="27"/>
  <c r="O229" i="27" s="1"/>
  <c r="J45" i="21"/>
  <c r="J90" i="21" s="1"/>
  <c r="J44" i="21"/>
  <c r="K40" i="21"/>
  <c r="J39" i="21"/>
  <c r="K39" i="21" s="1"/>
  <c r="J34" i="21"/>
  <c r="K28" i="21"/>
  <c r="J22" i="21"/>
  <c r="J21" i="21"/>
  <c r="K21" i="21" s="1"/>
  <c r="K11" i="21"/>
  <c r="K25" i="21"/>
  <c r="J16" i="21"/>
  <c r="J15" i="21"/>
  <c r="K15" i="21" s="1"/>
  <c r="J14" i="21"/>
  <c r="J13" i="21"/>
  <c r="J12" i="21"/>
  <c r="J9" i="21"/>
  <c r="K9" i="21" s="1"/>
  <c r="H630" i="27"/>
  <c r="I622" i="27"/>
  <c r="J606" i="27"/>
  <c r="I530" i="27"/>
  <c r="G530" i="27"/>
  <c r="I526" i="27"/>
  <c r="J630" i="27" s="1"/>
  <c r="H413" i="27"/>
  <c r="G413" i="27"/>
  <c r="H378" i="27"/>
  <c r="H633" i="27" s="1"/>
  <c r="G378" i="27"/>
  <c r="I361" i="27"/>
  <c r="J413" i="27" s="1"/>
  <c r="I341" i="27"/>
  <c r="G341" i="27"/>
  <c r="I335" i="27"/>
  <c r="I316" i="27"/>
  <c r="I315" i="27"/>
  <c r="I242" i="27"/>
  <c r="G242" i="27"/>
  <c r="P236" i="27"/>
  <c r="O236" i="27"/>
  <c r="N236" i="27"/>
  <c r="P228" i="27"/>
  <c r="J227" i="27"/>
  <c r="J226" i="27"/>
  <c r="J225" i="27"/>
  <c r="J224" i="27"/>
  <c r="J223" i="27"/>
  <c r="J222" i="27"/>
  <c r="J221" i="27"/>
  <c r="J220" i="27"/>
  <c r="J219" i="27"/>
  <c r="J218" i="27"/>
  <c r="J217" i="27"/>
  <c r="J216" i="27"/>
  <c r="J215" i="27"/>
  <c r="J214" i="27"/>
  <c r="J213" i="27"/>
  <c r="J212" i="27"/>
  <c r="J211" i="27"/>
  <c r="J210" i="27"/>
  <c r="I210" i="27"/>
  <c r="J209" i="27"/>
  <c r="J208" i="27"/>
  <c r="J207" i="27"/>
  <c r="J206" i="27"/>
  <c r="J205" i="27"/>
  <c r="J204" i="27"/>
  <c r="J203" i="27"/>
  <c r="J202" i="27"/>
  <c r="J201" i="27"/>
  <c r="J200" i="27"/>
  <c r="I200" i="27"/>
  <c r="J199" i="27"/>
  <c r="J198" i="27"/>
  <c r="I198" i="27"/>
  <c r="J197" i="27"/>
  <c r="J196" i="27"/>
  <c r="J195" i="27"/>
  <c r="J194" i="27"/>
  <c r="J193" i="27"/>
  <c r="J192" i="27"/>
  <c r="J191" i="27"/>
  <c r="J190" i="27"/>
  <c r="J189" i="27"/>
  <c r="J188" i="27"/>
  <c r="J187" i="27"/>
  <c r="J186" i="27"/>
  <c r="J185" i="27"/>
  <c r="J184" i="27"/>
  <c r="J183" i="27"/>
  <c r="J182" i="27"/>
  <c r="J181" i="27"/>
  <c r="J180" i="27"/>
  <c r="J179" i="27"/>
  <c r="J178" i="27"/>
  <c r="J177" i="27"/>
  <c r="J176" i="27"/>
  <c r="J175" i="27"/>
  <c r="J174" i="27"/>
  <c r="J173" i="27"/>
  <c r="J172" i="27"/>
  <c r="J171" i="27"/>
  <c r="J170" i="27"/>
  <c r="J169" i="27"/>
  <c r="J168" i="27"/>
  <c r="J167" i="27"/>
  <c r="J166" i="27"/>
  <c r="J165" i="27"/>
  <c r="J164" i="27"/>
  <c r="J163" i="27"/>
  <c r="J162" i="27"/>
  <c r="J161" i="27"/>
  <c r="J160" i="27"/>
  <c r="I160" i="27"/>
  <c r="J231" i="27" s="1"/>
  <c r="J159" i="27"/>
  <c r="I159" i="27"/>
  <c r="G159" i="27"/>
  <c r="J158" i="27"/>
  <c r="J157" i="27"/>
  <c r="J156" i="27"/>
  <c r="J155" i="27"/>
  <c r="J154" i="27"/>
  <c r="J153" i="27"/>
  <c r="J152" i="27"/>
  <c r="J151" i="27"/>
  <c r="I90" i="27"/>
  <c r="I630" i="27" s="1"/>
  <c r="I47" i="27"/>
  <c r="J59" i="21"/>
  <c r="P96" i="21" l="1"/>
  <c r="P99" i="21" s="1"/>
  <c r="P101" i="21" s="1"/>
  <c r="Q101" i="21" s="1"/>
  <c r="J18" i="21"/>
  <c r="N17" i="21"/>
  <c r="N18" i="21"/>
  <c r="M26" i="21"/>
  <c r="M42" i="21"/>
  <c r="N42" i="21" s="1"/>
  <c r="N46" i="21"/>
  <c r="N69" i="21"/>
  <c r="N39" i="21"/>
  <c r="N35" i="21"/>
  <c r="J46" i="21"/>
  <c r="N28" i="21"/>
  <c r="K45" i="21"/>
  <c r="J26" i="21"/>
  <c r="J66" i="21"/>
  <c r="J71" i="21"/>
  <c r="J37" i="21"/>
  <c r="K23" i="21"/>
  <c r="J42" i="21"/>
  <c r="K34" i="21"/>
  <c r="K61" i="21"/>
  <c r="J80" i="21"/>
  <c r="K44" i="21"/>
  <c r="J344" i="27"/>
  <c r="J418" i="27" s="1"/>
  <c r="L418" i="27" s="1"/>
  <c r="G344" i="27"/>
  <c r="G418" i="27" s="1"/>
  <c r="I46" i="21"/>
  <c r="J88" i="21"/>
  <c r="J92" i="21" s="1"/>
  <c r="J10" i="21"/>
  <c r="J120" i="21"/>
  <c r="J109" i="21"/>
  <c r="J112" i="21" s="1"/>
  <c r="G9" i="21"/>
  <c r="N26" i="21" l="1"/>
  <c r="M30" i="21"/>
  <c r="Q99" i="21"/>
  <c r="N80" i="21"/>
  <c r="M84" i="21"/>
  <c r="Q96" i="21"/>
  <c r="K46" i="21"/>
  <c r="J30" i="21"/>
  <c r="J84" i="21"/>
  <c r="G630" i="27"/>
  <c r="M86" i="21" l="1"/>
  <c r="N30" i="21"/>
  <c r="N84" i="21"/>
  <c r="J86" i="21"/>
  <c r="J96" i="21" s="1"/>
  <c r="I80" i="21"/>
  <c r="K80" i="21" s="1"/>
  <c r="I10" i="21"/>
  <c r="K10" i="21" s="1"/>
  <c r="B4" i="22"/>
  <c r="B5" i="22"/>
  <c r="B41" i="22"/>
  <c r="F105" i="21"/>
  <c r="B34" i="22"/>
  <c r="M101" i="21" l="1"/>
  <c r="M96" i="21"/>
  <c r="M99" i="21" s="1"/>
  <c r="N86" i="21"/>
  <c r="J99" i="21"/>
  <c r="G20" i="21"/>
  <c r="B16" i="22"/>
  <c r="H110" i="21"/>
  <c r="F124" i="21"/>
  <c r="F126" i="21" s="1"/>
  <c r="J101" i="21" l="1"/>
  <c r="B120" i="21"/>
  <c r="F118" i="21"/>
  <c r="F108" i="21"/>
  <c r="H38" i="21"/>
  <c r="H43" i="21"/>
  <c r="H70" i="21"/>
  <c r="G34" i="21"/>
  <c r="H27" i="21"/>
  <c r="H29" i="21"/>
  <c r="F88" i="21"/>
  <c r="F71" i="21"/>
  <c r="F66" i="21"/>
  <c r="F59" i="21" l="1"/>
  <c r="F10" i="21"/>
  <c r="C10" i="21"/>
  <c r="C16" i="21"/>
  <c r="C18" i="21" l="1"/>
  <c r="C26" i="21"/>
  <c r="C42" i="21"/>
  <c r="C46" i="21"/>
  <c r="C59" i="21"/>
  <c r="C71" i="21"/>
  <c r="C80" i="21"/>
  <c r="C88" i="21"/>
  <c r="C92" i="21" s="1"/>
  <c r="C100" i="21"/>
  <c r="C62" i="21"/>
  <c r="C61" i="21"/>
  <c r="C34" i="21"/>
  <c r="C37" i="21" l="1"/>
  <c r="C66" i="21"/>
  <c r="C30" i="21"/>
  <c r="C84" i="21" l="1"/>
  <c r="C86" i="21" s="1"/>
  <c r="C96" i="21" s="1"/>
  <c r="C99" i="21" s="1"/>
  <c r="C101" i="21" s="1"/>
  <c r="C41" i="24"/>
  <c r="C31" i="24" l="1"/>
  <c r="B8" i="22" l="1"/>
  <c r="G35" i="21"/>
  <c r="G38" i="21"/>
  <c r="G39" i="21"/>
  <c r="G40" i="21"/>
  <c r="G41" i="21"/>
  <c r="G43" i="21"/>
  <c r="G44" i="21"/>
  <c r="G62" i="21"/>
  <c r="G63" i="21"/>
  <c r="G69" i="21"/>
  <c r="G73" i="21"/>
  <c r="G74" i="21"/>
  <c r="G79" i="21"/>
  <c r="G85" i="21"/>
  <c r="G89" i="21"/>
  <c r="G12" i="21"/>
  <c r="G13" i="21"/>
  <c r="G21" i="21"/>
  <c r="B17" i="22" s="1"/>
  <c r="D11" i="23" l="1"/>
  <c r="D16" i="23" s="1"/>
  <c r="C6" i="23"/>
  <c r="B6" i="23"/>
  <c r="D5" i="23"/>
  <c r="D6" i="23" l="1"/>
  <c r="D7" i="23" s="1"/>
  <c r="D18" i="23" s="1"/>
  <c r="G70" i="21" l="1"/>
  <c r="B19" i="22" s="1"/>
  <c r="E17" i="21" l="1"/>
  <c r="H17" i="21" s="1"/>
  <c r="F90" i="21"/>
  <c r="G90" i="21" s="1"/>
  <c r="F46" i="21"/>
  <c r="F42" i="21"/>
  <c r="F33" i="21"/>
  <c r="F24" i="21"/>
  <c r="H24" i="21" s="1"/>
  <c r="G17" i="21"/>
  <c r="G24" i="21" l="1"/>
  <c r="F26" i="21"/>
  <c r="G16" i="21"/>
  <c r="D100" i="21"/>
  <c r="B108" i="21" l="1"/>
  <c r="B109" i="21" s="1"/>
  <c r="D92" i="21"/>
  <c r="B92" i="21"/>
  <c r="D80" i="21"/>
  <c r="B80" i="21"/>
  <c r="D71" i="21"/>
  <c r="D66" i="21"/>
  <c r="B66" i="21"/>
  <c r="D59" i="21"/>
  <c r="B59" i="21"/>
  <c r="D46" i="21"/>
  <c r="G46" i="21" s="1"/>
  <c r="D42" i="21"/>
  <c r="G42" i="21" s="1"/>
  <c r="D37" i="21"/>
  <c r="D26" i="21"/>
  <c r="D18" i="21"/>
  <c r="B18" i="21"/>
  <c r="D10" i="21"/>
  <c r="I142" i="21"/>
  <c r="I141" i="21"/>
  <c r="I139" i="21"/>
  <c r="E137" i="21"/>
  <c r="I136" i="21"/>
  <c r="I131" i="21"/>
  <c r="I125" i="21"/>
  <c r="E125" i="21"/>
  <c r="H125" i="21" s="1"/>
  <c r="I117" i="21"/>
  <c r="E117" i="21"/>
  <c r="H117" i="21" s="1"/>
  <c r="E111" i="21"/>
  <c r="H111" i="21" s="1"/>
  <c r="B111" i="21"/>
  <c r="I110" i="21"/>
  <c r="I90" i="21" s="1"/>
  <c r="K90" i="21" s="1"/>
  <c r="B100" i="21"/>
  <c r="I82" i="21"/>
  <c r="K82" i="21" s="1"/>
  <c r="E82" i="21"/>
  <c r="H82" i="21" s="1"/>
  <c r="B71" i="21"/>
  <c r="B46" i="21"/>
  <c r="B42" i="21"/>
  <c r="B37" i="21"/>
  <c r="B26" i="21"/>
  <c r="I24" i="21"/>
  <c r="G23" i="21"/>
  <c r="I22" i="21"/>
  <c r="K22" i="21" s="1"/>
  <c r="I20" i="21"/>
  <c r="K20" i="21" s="1"/>
  <c r="I17" i="21"/>
  <c r="K17" i="21" s="1"/>
  <c r="I16" i="21"/>
  <c r="K16" i="21" s="1"/>
  <c r="I14" i="21"/>
  <c r="K14" i="21" s="1"/>
  <c r="I13" i="21"/>
  <c r="K13" i="21" s="1"/>
  <c r="I12" i="21"/>
  <c r="K12" i="21" s="1"/>
  <c r="B10" i="21"/>
  <c r="K18" i="21" l="1"/>
  <c r="I18" i="21"/>
  <c r="I100" i="21"/>
  <c r="K100" i="21" s="1"/>
  <c r="I26" i="21"/>
  <c r="K26" i="21" s="1"/>
  <c r="G49" i="21"/>
  <c r="G53" i="21"/>
  <c r="G48" i="21"/>
  <c r="G52" i="21"/>
  <c r="G65" i="21"/>
  <c r="G77" i="21"/>
  <c r="G14" i="21"/>
  <c r="G22" i="21"/>
  <c r="G28" i="21"/>
  <c r="G51" i="21"/>
  <c r="G57" i="21"/>
  <c r="G64" i="21"/>
  <c r="G76" i="21"/>
  <c r="G10" i="21"/>
  <c r="G36" i="21"/>
  <c r="B6" i="22" s="1"/>
  <c r="G50" i="21"/>
  <c r="G75" i="21"/>
  <c r="G91" i="21"/>
  <c r="G82" i="21"/>
  <c r="G68" i="21"/>
  <c r="F80" i="21"/>
  <c r="F37" i="21"/>
  <c r="F72" i="21"/>
  <c r="G71" i="21"/>
  <c r="B112" i="21"/>
  <c r="E107" i="21" s="1"/>
  <c r="F107" i="21" s="1"/>
  <c r="I42" i="21"/>
  <c r="K42" i="21" s="1"/>
  <c r="I71" i="21"/>
  <c r="K71" i="21" s="1"/>
  <c r="B84" i="21"/>
  <c r="D84" i="21"/>
  <c r="I37" i="21"/>
  <c r="K37" i="21" s="1"/>
  <c r="I59" i="21"/>
  <c r="K59" i="21" s="1"/>
  <c r="I66" i="21"/>
  <c r="K66" i="21" s="1"/>
  <c r="B30" i="21"/>
  <c r="D30" i="21"/>
  <c r="F84" i="21" l="1"/>
  <c r="I30" i="21"/>
  <c r="K30" i="21" s="1"/>
  <c r="I84" i="21"/>
  <c r="K84" i="21" s="1"/>
  <c r="H107" i="21"/>
  <c r="F109" i="21"/>
  <c r="G59" i="21"/>
  <c r="G80" i="21"/>
  <c r="G37" i="21"/>
  <c r="D86" i="21"/>
  <c r="D96" i="21" s="1"/>
  <c r="D99" i="21" s="1"/>
  <c r="D101" i="21" s="1"/>
  <c r="B12" i="22"/>
  <c r="B21" i="22" s="1"/>
  <c r="B86" i="21"/>
  <c r="B96" i="21" s="1"/>
  <c r="B99" i="21" s="1"/>
  <c r="B101" i="21" s="1"/>
  <c r="F92" i="21"/>
  <c r="G88" i="21"/>
  <c r="G66" i="21"/>
  <c r="G61" i="21"/>
  <c r="B7" i="22" s="1"/>
  <c r="B9" i="22" s="1"/>
  <c r="G100" i="21" l="1"/>
  <c r="F112" i="21"/>
  <c r="B23" i="22"/>
  <c r="G92" i="21"/>
  <c r="G26" i="21"/>
  <c r="I86" i="21"/>
  <c r="K86" i="21" s="1"/>
  <c r="V60" i="19"/>
  <c r="V23" i="19"/>
  <c r="I107" i="21" l="1"/>
  <c r="G84" i="21"/>
  <c r="C4" i="20"/>
  <c r="C70" i="20"/>
  <c r="C63" i="20"/>
  <c r="C83" i="20"/>
  <c r="C75" i="20"/>
  <c r="C54" i="20"/>
  <c r="C51" i="20"/>
  <c r="C46" i="20"/>
  <c r="C33" i="20"/>
  <c r="C26" i="20"/>
  <c r="C18" i="20"/>
  <c r="C87" i="20" l="1"/>
  <c r="C37" i="20"/>
  <c r="C89" i="20" s="1"/>
  <c r="C99" i="20" s="1"/>
  <c r="F101" i="21" l="1"/>
  <c r="G101" i="21" l="1"/>
  <c r="G99" i="21"/>
  <c r="O64" i="19"/>
  <c r="P83" i="19"/>
  <c r="S24" i="19"/>
  <c r="S23" i="19"/>
  <c r="U60" i="19" l="1"/>
  <c r="E65" i="20" s="1"/>
  <c r="U108" i="19"/>
  <c r="U99" i="19"/>
  <c r="U89" i="19"/>
  <c r="U87" i="19"/>
  <c r="U105" i="19" s="1"/>
  <c r="U70" i="19"/>
  <c r="U46" i="19"/>
  <c r="U47" i="19" s="1"/>
  <c r="U44" i="19"/>
  <c r="U38" i="19"/>
  <c r="U23" i="19"/>
  <c r="U16" i="19"/>
  <c r="D141" i="20" l="1"/>
  <c r="F113" i="20"/>
  <c r="F120" i="20"/>
  <c r="F128" i="20"/>
  <c r="F134" i="20"/>
  <c r="C145" i="20"/>
  <c r="C144" i="20"/>
  <c r="C142" i="20"/>
  <c r="C139" i="20"/>
  <c r="E134" i="20"/>
  <c r="E128" i="20"/>
  <c r="E120" i="20"/>
  <c r="E113" i="20"/>
  <c r="F43" i="20"/>
  <c r="F44" i="20"/>
  <c r="F45" i="20"/>
  <c r="F48" i="20"/>
  <c r="F49" i="20"/>
  <c r="F50" i="20"/>
  <c r="F67" i="20"/>
  <c r="F68" i="20"/>
  <c r="F73" i="20"/>
  <c r="F74" i="20"/>
  <c r="F77" i="20"/>
  <c r="F78" i="20"/>
  <c r="F79" i="20"/>
  <c r="F80" i="20"/>
  <c r="F82" i="20"/>
  <c r="F85" i="20"/>
  <c r="F92" i="20"/>
  <c r="E92" i="20"/>
  <c r="E85" i="20"/>
  <c r="E82" i="20"/>
  <c r="E80" i="20"/>
  <c r="E79" i="20"/>
  <c r="E78" i="20"/>
  <c r="E77" i="20"/>
  <c r="E74" i="20"/>
  <c r="E73" i="20"/>
  <c r="E72" i="20"/>
  <c r="E68" i="20"/>
  <c r="E67" i="20"/>
  <c r="E62" i="20"/>
  <c r="E60" i="20"/>
  <c r="E59" i="20"/>
  <c r="E58" i="20"/>
  <c r="E57" i="20"/>
  <c r="E56" i="20"/>
  <c r="E50" i="20"/>
  <c r="E49" i="20"/>
  <c r="E48" i="20"/>
  <c r="E44" i="20"/>
  <c r="E45" i="20"/>
  <c r="E43" i="20"/>
  <c r="F20" i="20"/>
  <c r="F21" i="20"/>
  <c r="F22" i="20"/>
  <c r="F23" i="20"/>
  <c r="F24" i="20"/>
  <c r="F25" i="20"/>
  <c r="F28" i="20"/>
  <c r="F29" i="20"/>
  <c r="F30" i="20"/>
  <c r="F31" i="20"/>
  <c r="F32" i="20"/>
  <c r="F35" i="20"/>
  <c r="E35" i="20"/>
  <c r="E32" i="20"/>
  <c r="E30" i="20"/>
  <c r="E28" i="20"/>
  <c r="E25" i="20"/>
  <c r="E24" i="20"/>
  <c r="E23" i="20"/>
  <c r="E22" i="20"/>
  <c r="E21" i="20"/>
  <c r="E20" i="20"/>
  <c r="F17" i="20"/>
  <c r="E17" i="20"/>
  <c r="B140" i="20"/>
  <c r="D120" i="20"/>
  <c r="D128" i="20"/>
  <c r="D114" i="20"/>
  <c r="D85" i="20"/>
  <c r="Q25" i="19"/>
  <c r="D35" i="20" l="1"/>
  <c r="E28" i="21"/>
  <c r="N70" i="19"/>
  <c r="N65" i="19"/>
  <c r="N79" i="19"/>
  <c r="N25" i="19"/>
  <c r="N21" i="19"/>
  <c r="N87" i="19" s="1"/>
  <c r="N92" i="19" s="1"/>
  <c r="N12" i="19"/>
  <c r="N16" i="19" s="1"/>
  <c r="N7" i="19"/>
  <c r="N58" i="19"/>
  <c r="N47" i="19"/>
  <c r="N44" i="19"/>
  <c r="N38" i="19"/>
  <c r="N8" i="19"/>
  <c r="H28" i="21" l="1"/>
  <c r="N23" i="19"/>
  <c r="N27" i="19" s="1"/>
  <c r="N28" i="19" s="1"/>
  <c r="N83" i="19"/>
  <c r="N85" i="19" l="1"/>
  <c r="N95" i="19" s="1"/>
  <c r="P131" i="16" l="1"/>
  <c r="P124" i="16"/>
  <c r="P120" i="16"/>
  <c r="P122" i="16" s="1"/>
  <c r="P116" i="16"/>
  <c r="N92" i="16"/>
  <c r="O90" i="16"/>
  <c r="N90" i="16"/>
  <c r="O87" i="16"/>
  <c r="O92" i="16" s="1"/>
  <c r="N87" i="16"/>
  <c r="O83" i="16"/>
  <c r="P78" i="16"/>
  <c r="N77" i="16"/>
  <c r="P77" i="16" s="1"/>
  <c r="P76" i="16"/>
  <c r="P75" i="16"/>
  <c r="P74" i="16"/>
  <c r="P73" i="16"/>
  <c r="P72" i="16"/>
  <c r="P69" i="16"/>
  <c r="P68" i="16"/>
  <c r="P70" i="16" s="1"/>
  <c r="P67" i="16"/>
  <c r="P63" i="16"/>
  <c r="P62" i="16"/>
  <c r="P61" i="16"/>
  <c r="P60" i="16"/>
  <c r="P57" i="16"/>
  <c r="N55" i="16"/>
  <c r="P55" i="16" s="1"/>
  <c r="P54" i="16"/>
  <c r="P53" i="16"/>
  <c r="N52" i="16"/>
  <c r="P52" i="16" s="1"/>
  <c r="N51" i="16"/>
  <c r="P51" i="16" s="1"/>
  <c r="N50" i="16"/>
  <c r="P50" i="16" s="1"/>
  <c r="N49" i="16"/>
  <c r="P49" i="16" s="1"/>
  <c r="P46" i="16"/>
  <c r="P47" i="16" s="1"/>
  <c r="P43" i="16"/>
  <c r="P41" i="16"/>
  <c r="P40" i="16"/>
  <c r="P37" i="16"/>
  <c r="P36" i="16"/>
  <c r="P35" i="16"/>
  <c r="P38" i="16" s="1"/>
  <c r="O27" i="16"/>
  <c r="O85" i="16" s="1"/>
  <c r="O95" i="16" s="1"/>
  <c r="N27" i="16"/>
  <c r="P22" i="16"/>
  <c r="P21" i="16"/>
  <c r="P20" i="16"/>
  <c r="P19" i="16"/>
  <c r="P18" i="16"/>
  <c r="P99" i="16" s="1"/>
  <c r="P15" i="16"/>
  <c r="P14" i="16"/>
  <c r="P13" i="16"/>
  <c r="P12" i="16"/>
  <c r="P11" i="16"/>
  <c r="P16" i="16" s="1"/>
  <c r="P10" i="16"/>
  <c r="P7" i="16"/>
  <c r="P8" i="16" s="1"/>
  <c r="B123" i="20"/>
  <c r="B114" i="20"/>
  <c r="B111" i="20"/>
  <c r="B112" i="20" s="1"/>
  <c r="B103" i="20"/>
  <c r="B96" i="20"/>
  <c r="B83" i="20"/>
  <c r="B75" i="20"/>
  <c r="B70" i="20"/>
  <c r="B63" i="20"/>
  <c r="B54" i="20"/>
  <c r="B51" i="20"/>
  <c r="B46" i="20"/>
  <c r="B33" i="20"/>
  <c r="B26" i="20"/>
  <c r="B18" i="20"/>
  <c r="P90" i="19"/>
  <c r="P79" i="16" l="1"/>
  <c r="P44" i="16"/>
  <c r="B115" i="20"/>
  <c r="P27" i="16"/>
  <c r="P58" i="16"/>
  <c r="P23" i="16"/>
  <c r="B87" i="20"/>
  <c r="B37" i="20"/>
  <c r="B89" i="20" l="1"/>
  <c r="P28" i="16"/>
  <c r="X133" i="19"/>
  <c r="X132" i="19"/>
  <c r="U77" i="19" s="1"/>
  <c r="Q131" i="19"/>
  <c r="E140" i="21" s="1"/>
  <c r="X130" i="19"/>
  <c r="X129" i="19"/>
  <c r="X128" i="19"/>
  <c r="X127" i="19"/>
  <c r="Q124" i="19"/>
  <c r="Q120" i="19"/>
  <c r="E124" i="21" s="1"/>
  <c r="H124" i="21" s="1"/>
  <c r="L117" i="19"/>
  <c r="Q113" i="19" s="1"/>
  <c r="Q116" i="19"/>
  <c r="E119" i="21" s="1"/>
  <c r="H119" i="21" s="1"/>
  <c r="V108" i="19"/>
  <c r="F114" i="20" s="1"/>
  <c r="T108" i="19"/>
  <c r="L108" i="19"/>
  <c r="L105" i="19"/>
  <c r="L106" i="19" s="1"/>
  <c r="V99" i="19"/>
  <c r="F103" i="20" s="1"/>
  <c r="T99" i="19"/>
  <c r="E103" i="20" s="1"/>
  <c r="L99" i="19"/>
  <c r="I99" i="19"/>
  <c r="L92" i="19"/>
  <c r="G92" i="19"/>
  <c r="V89" i="19"/>
  <c r="F93" i="20" s="1"/>
  <c r="T89" i="19"/>
  <c r="E93" i="20" s="1"/>
  <c r="V87" i="19"/>
  <c r="T87" i="19"/>
  <c r="P87" i="19"/>
  <c r="P92" i="19" s="1"/>
  <c r="O87" i="19"/>
  <c r="O92" i="19" s="1"/>
  <c r="M87" i="19"/>
  <c r="M92" i="19" s="1"/>
  <c r="K87" i="19"/>
  <c r="K92" i="19" s="1"/>
  <c r="I87" i="19"/>
  <c r="I92" i="19" s="1"/>
  <c r="H87" i="19"/>
  <c r="H92" i="19" s="1"/>
  <c r="G87" i="19"/>
  <c r="F87" i="19"/>
  <c r="F92" i="19" s="1"/>
  <c r="E87" i="19"/>
  <c r="E92" i="19" s="1"/>
  <c r="D87" i="19"/>
  <c r="D92" i="19" s="1"/>
  <c r="C87" i="19"/>
  <c r="C92" i="19" s="1"/>
  <c r="B87" i="19"/>
  <c r="B92" i="19" s="1"/>
  <c r="R81" i="19"/>
  <c r="J81" i="19"/>
  <c r="M79" i="19"/>
  <c r="L79" i="19"/>
  <c r="K79" i="19"/>
  <c r="I79" i="19"/>
  <c r="H79" i="19"/>
  <c r="G79" i="19"/>
  <c r="F79" i="19"/>
  <c r="E79" i="19"/>
  <c r="D79" i="19"/>
  <c r="C79" i="19"/>
  <c r="B79" i="19"/>
  <c r="Q78" i="19"/>
  <c r="E79" i="21" s="1"/>
  <c r="H79" i="21" s="1"/>
  <c r="J78" i="19"/>
  <c r="O77" i="19"/>
  <c r="Q77" i="19" s="1"/>
  <c r="Q76" i="19"/>
  <c r="E77" i="21" s="1"/>
  <c r="H77" i="21" s="1"/>
  <c r="J76" i="19"/>
  <c r="Q75" i="19"/>
  <c r="E76" i="21" s="1"/>
  <c r="H76" i="21" s="1"/>
  <c r="J75" i="19"/>
  <c r="Q74" i="19"/>
  <c r="E75" i="21" s="1"/>
  <c r="H75" i="21" s="1"/>
  <c r="J74" i="19"/>
  <c r="Q73" i="19"/>
  <c r="E74" i="21" s="1"/>
  <c r="H74" i="21" s="1"/>
  <c r="J73" i="19"/>
  <c r="Q72" i="19"/>
  <c r="E73" i="21" s="1"/>
  <c r="J72" i="19"/>
  <c r="T70" i="19"/>
  <c r="E75" i="20" s="1"/>
  <c r="M70" i="19"/>
  <c r="L70" i="19"/>
  <c r="K70" i="19"/>
  <c r="I70" i="19"/>
  <c r="H70" i="19"/>
  <c r="G70" i="19"/>
  <c r="F70" i="19"/>
  <c r="E70" i="19"/>
  <c r="D70" i="19"/>
  <c r="C70" i="19"/>
  <c r="B70" i="19"/>
  <c r="Q69" i="19"/>
  <c r="J69" i="19"/>
  <c r="Q68" i="19"/>
  <c r="E69" i="21" s="1"/>
  <c r="H69" i="21" s="1"/>
  <c r="J68" i="19"/>
  <c r="V67" i="19"/>
  <c r="F72" i="20" s="1"/>
  <c r="Q67" i="19"/>
  <c r="J67" i="19"/>
  <c r="M65" i="19"/>
  <c r="L65" i="19"/>
  <c r="K65" i="19"/>
  <c r="H65" i="19"/>
  <c r="G65" i="19"/>
  <c r="F65" i="19"/>
  <c r="E65" i="19"/>
  <c r="D65" i="19"/>
  <c r="C65" i="19"/>
  <c r="B65" i="19"/>
  <c r="Q63" i="19"/>
  <c r="J63" i="19"/>
  <c r="Q62" i="19"/>
  <c r="I61" i="19"/>
  <c r="I65" i="19" s="1"/>
  <c r="J65" i="19" s="1"/>
  <c r="F65" i="20"/>
  <c r="Q60" i="19"/>
  <c r="E61" i="21" s="1"/>
  <c r="J60" i="19"/>
  <c r="M58" i="19"/>
  <c r="L58" i="19"/>
  <c r="K58" i="19"/>
  <c r="I58" i="19"/>
  <c r="H58" i="19"/>
  <c r="G58" i="19"/>
  <c r="F58" i="19"/>
  <c r="E58" i="19"/>
  <c r="D58" i="19"/>
  <c r="C58" i="19"/>
  <c r="B58" i="19"/>
  <c r="V57" i="19"/>
  <c r="F62" i="20" s="1"/>
  <c r="Q57" i="19"/>
  <c r="R56" i="19"/>
  <c r="V55" i="19"/>
  <c r="O55" i="19"/>
  <c r="Q55" i="19" s="1"/>
  <c r="E53" i="21" s="1"/>
  <c r="H53" i="21" s="1"/>
  <c r="J55" i="19"/>
  <c r="V54" i="19"/>
  <c r="F60" i="20" s="1"/>
  <c r="Q54" i="19"/>
  <c r="J54" i="19"/>
  <c r="V53" i="19"/>
  <c r="Q53" i="19"/>
  <c r="J53" i="19"/>
  <c r="V52" i="19"/>
  <c r="F59" i="20" s="1"/>
  <c r="O52" i="19"/>
  <c r="Q52" i="19" s="1"/>
  <c r="E51" i="21" s="1"/>
  <c r="H51" i="21" s="1"/>
  <c r="J52" i="19"/>
  <c r="V51" i="19"/>
  <c r="F58" i="20" s="1"/>
  <c r="O51" i="19"/>
  <c r="Q51" i="19" s="1"/>
  <c r="E50" i="21" s="1"/>
  <c r="H50" i="21" s="1"/>
  <c r="J51" i="19"/>
  <c r="V50" i="19"/>
  <c r="F57" i="20" s="1"/>
  <c r="O50" i="19"/>
  <c r="Q50" i="19" s="1"/>
  <c r="E49" i="21" s="1"/>
  <c r="H49" i="21" s="1"/>
  <c r="J50" i="19"/>
  <c r="V49" i="19"/>
  <c r="F56" i="20" s="1"/>
  <c r="O49" i="19"/>
  <c r="J49" i="19"/>
  <c r="M47" i="19"/>
  <c r="L47" i="19"/>
  <c r="K47" i="19"/>
  <c r="I47" i="19"/>
  <c r="H47" i="19"/>
  <c r="G47" i="19"/>
  <c r="F47" i="19"/>
  <c r="E47" i="19"/>
  <c r="D47" i="19"/>
  <c r="C47" i="19"/>
  <c r="B47" i="19"/>
  <c r="V46" i="19"/>
  <c r="T46" i="19"/>
  <c r="Q46" i="19"/>
  <c r="E44" i="21" s="1"/>
  <c r="J46" i="19"/>
  <c r="V44" i="19"/>
  <c r="F51" i="20" s="1"/>
  <c r="T44" i="19"/>
  <c r="E51" i="20" s="1"/>
  <c r="M44" i="19"/>
  <c r="L44" i="19"/>
  <c r="K44" i="19"/>
  <c r="I44" i="19"/>
  <c r="H44" i="19"/>
  <c r="G44" i="19"/>
  <c r="F44" i="19"/>
  <c r="E44" i="19"/>
  <c r="D44" i="19"/>
  <c r="C44" i="19"/>
  <c r="B44" i="19"/>
  <c r="Q43" i="19"/>
  <c r="E41" i="21" s="1"/>
  <c r="H41" i="21" s="1"/>
  <c r="J43" i="19"/>
  <c r="R42" i="19"/>
  <c r="J42" i="19"/>
  <c r="Q41" i="19"/>
  <c r="E40" i="21" s="1"/>
  <c r="H40" i="21" s="1"/>
  <c r="J41" i="19"/>
  <c r="Q40" i="19"/>
  <c r="J40" i="19"/>
  <c r="V38" i="19"/>
  <c r="F46" i="20" s="1"/>
  <c r="T38" i="19"/>
  <c r="E46" i="20" s="1"/>
  <c r="M38" i="19"/>
  <c r="L38" i="19"/>
  <c r="K38" i="19"/>
  <c r="I38" i="19"/>
  <c r="H38" i="19"/>
  <c r="G38" i="19"/>
  <c r="F38" i="19"/>
  <c r="E38" i="19"/>
  <c r="D38" i="19"/>
  <c r="C38" i="19"/>
  <c r="B38" i="19"/>
  <c r="Q37" i="19"/>
  <c r="E36" i="21" s="1"/>
  <c r="H36" i="21" s="1"/>
  <c r="J37" i="19"/>
  <c r="Q36" i="19"/>
  <c r="E35" i="21" s="1"/>
  <c r="H35" i="21" s="1"/>
  <c r="J36" i="19"/>
  <c r="Q35" i="19"/>
  <c r="J35" i="19"/>
  <c r="P27" i="19"/>
  <c r="P85" i="19" s="1"/>
  <c r="O27" i="19"/>
  <c r="R25" i="19"/>
  <c r="J25" i="19"/>
  <c r="F33" i="20"/>
  <c r="T23" i="19"/>
  <c r="E33" i="20" s="1"/>
  <c r="M23" i="19"/>
  <c r="L23" i="19"/>
  <c r="K23" i="19"/>
  <c r="I23" i="19"/>
  <c r="H23" i="19"/>
  <c r="G23" i="19"/>
  <c r="F23" i="19"/>
  <c r="E23" i="19"/>
  <c r="D23" i="19"/>
  <c r="C23" i="19"/>
  <c r="B23" i="19"/>
  <c r="Q22" i="19"/>
  <c r="Q21" i="19"/>
  <c r="E23" i="21" s="1"/>
  <c r="H23" i="21" s="1"/>
  <c r="J21" i="19"/>
  <c r="Q20" i="19"/>
  <c r="E22" i="21" s="1"/>
  <c r="H22" i="21" s="1"/>
  <c r="J20" i="19"/>
  <c r="Q19" i="19"/>
  <c r="E21" i="21" s="1"/>
  <c r="H21" i="21" s="1"/>
  <c r="J19" i="19"/>
  <c r="Q18" i="19"/>
  <c r="E20" i="21" s="1"/>
  <c r="J18" i="19"/>
  <c r="V16" i="19"/>
  <c r="F26" i="20" s="1"/>
  <c r="T16" i="19"/>
  <c r="E26" i="20" s="1"/>
  <c r="M16" i="19"/>
  <c r="L16" i="19"/>
  <c r="K16" i="19"/>
  <c r="I16" i="19"/>
  <c r="H16" i="19"/>
  <c r="G16" i="19"/>
  <c r="F16" i="19"/>
  <c r="E16" i="19"/>
  <c r="D16" i="19"/>
  <c r="C16" i="19"/>
  <c r="B16" i="19"/>
  <c r="Q15" i="19"/>
  <c r="Q14" i="19"/>
  <c r="E16" i="21" s="1"/>
  <c r="H16" i="21" s="1"/>
  <c r="Q13" i="19"/>
  <c r="J13" i="19"/>
  <c r="Q12" i="19"/>
  <c r="E14" i="21" s="1"/>
  <c r="H14" i="21" s="1"/>
  <c r="Q11" i="19"/>
  <c r="J11" i="19"/>
  <c r="Q10" i="19"/>
  <c r="E12" i="21" s="1"/>
  <c r="J10" i="19"/>
  <c r="M8" i="19"/>
  <c r="L8" i="19"/>
  <c r="K8" i="19"/>
  <c r="I8" i="19"/>
  <c r="H8" i="19"/>
  <c r="G8" i="19"/>
  <c r="F8" i="19"/>
  <c r="E8" i="19"/>
  <c r="D8" i="19"/>
  <c r="C8" i="19"/>
  <c r="B8" i="19"/>
  <c r="Q7" i="19"/>
  <c r="E9" i="21" s="1"/>
  <c r="H9" i="21" s="1"/>
  <c r="J7" i="19"/>
  <c r="E46" i="21" l="1"/>
  <c r="H46" i="21" s="1"/>
  <c r="H44" i="21"/>
  <c r="Q64" i="19"/>
  <c r="T61" i="19"/>
  <c r="U61" i="19" s="1"/>
  <c r="E66" i="20" s="1"/>
  <c r="O61" i="19"/>
  <c r="Q61" i="19" s="1"/>
  <c r="E62" i="21" s="1"/>
  <c r="H62" i="21" s="1"/>
  <c r="D23" i="20"/>
  <c r="E15" i="21"/>
  <c r="F15" i="21" s="1"/>
  <c r="D62" i="20"/>
  <c r="E57" i="21"/>
  <c r="H57" i="21" s="1"/>
  <c r="D68" i="20"/>
  <c r="E64" i="21"/>
  <c r="H64" i="21" s="1"/>
  <c r="D72" i="20"/>
  <c r="E68" i="21"/>
  <c r="E91" i="20"/>
  <c r="I88" i="21"/>
  <c r="K88" i="21" s="1"/>
  <c r="E114" i="20"/>
  <c r="I111" i="21"/>
  <c r="V61" i="19"/>
  <c r="F66" i="20" s="1"/>
  <c r="H73" i="21"/>
  <c r="E80" i="21"/>
  <c r="D119" i="20"/>
  <c r="E116" i="21"/>
  <c r="F116" i="21" s="1"/>
  <c r="D21" i="20"/>
  <c r="E13" i="21"/>
  <c r="H13" i="21" s="1"/>
  <c r="R11" i="19"/>
  <c r="H20" i="21"/>
  <c r="E100" i="21"/>
  <c r="H100" i="21" s="1"/>
  <c r="E26" i="21"/>
  <c r="D134" i="20"/>
  <c r="E131" i="21"/>
  <c r="H131" i="21" s="1"/>
  <c r="D43" i="20"/>
  <c r="E34" i="21"/>
  <c r="P95" i="19"/>
  <c r="B27" i="19"/>
  <c r="H12" i="21"/>
  <c r="M83" i="19"/>
  <c r="D48" i="20"/>
  <c r="E39" i="21"/>
  <c r="D60" i="20"/>
  <c r="E52" i="21"/>
  <c r="H52" i="21" s="1"/>
  <c r="H61" i="21"/>
  <c r="D67" i="20"/>
  <c r="E63" i="21"/>
  <c r="H63" i="21" s="1"/>
  <c r="B99" i="20"/>
  <c r="B102" i="20" s="1"/>
  <c r="B104" i="20" s="1"/>
  <c r="R13" i="19"/>
  <c r="T64" i="19"/>
  <c r="U64" i="19"/>
  <c r="U90" i="19" s="1"/>
  <c r="D69" i="20"/>
  <c r="T56" i="19"/>
  <c r="U56" i="19"/>
  <c r="R41" i="19"/>
  <c r="D49" i="20"/>
  <c r="R43" i="19"/>
  <c r="D50" i="20"/>
  <c r="T47" i="19"/>
  <c r="E54" i="20" s="1"/>
  <c r="E53" i="20"/>
  <c r="R51" i="19"/>
  <c r="D58" i="20"/>
  <c r="R52" i="19"/>
  <c r="D59" i="20"/>
  <c r="R72" i="19"/>
  <c r="D77" i="20"/>
  <c r="R74" i="19"/>
  <c r="D79" i="20"/>
  <c r="R76" i="19"/>
  <c r="D81" i="20"/>
  <c r="R10" i="19"/>
  <c r="D20" i="20"/>
  <c r="R12" i="19"/>
  <c r="D22" i="20"/>
  <c r="R14" i="19"/>
  <c r="D24" i="20"/>
  <c r="R18" i="19"/>
  <c r="D28" i="20"/>
  <c r="R20" i="19"/>
  <c r="D30" i="20"/>
  <c r="R36" i="19"/>
  <c r="D44" i="20"/>
  <c r="V47" i="19"/>
  <c r="F54" i="20" s="1"/>
  <c r="F53" i="20"/>
  <c r="R50" i="19"/>
  <c r="D57" i="20"/>
  <c r="R55" i="19"/>
  <c r="D61" i="20"/>
  <c r="R61" i="19"/>
  <c r="D66" i="20"/>
  <c r="R69" i="19"/>
  <c r="D74" i="20"/>
  <c r="J79" i="19"/>
  <c r="Q122" i="19"/>
  <c r="E126" i="21" s="1"/>
  <c r="H126" i="21" s="1"/>
  <c r="D127" i="20"/>
  <c r="Q8" i="19"/>
  <c r="D17" i="20"/>
  <c r="D4" i="20" s="1"/>
  <c r="R15" i="19"/>
  <c r="D25" i="20"/>
  <c r="L83" i="19"/>
  <c r="R60" i="19"/>
  <c r="D65" i="20"/>
  <c r="V70" i="19"/>
  <c r="F75" i="20" s="1"/>
  <c r="R73" i="19"/>
  <c r="D78" i="20"/>
  <c r="R75" i="19"/>
  <c r="D80" i="20"/>
  <c r="V105" i="19"/>
  <c r="F111" i="20" s="1"/>
  <c r="F91" i="20"/>
  <c r="R37" i="19"/>
  <c r="D45" i="20"/>
  <c r="R68" i="19"/>
  <c r="D73" i="20"/>
  <c r="R78" i="19"/>
  <c r="D82" i="20"/>
  <c r="L110" i="19"/>
  <c r="Q104" i="19" s="1"/>
  <c r="D110" i="20" s="1"/>
  <c r="T116" i="19"/>
  <c r="D122" i="20"/>
  <c r="X131" i="19"/>
  <c r="B143" i="20"/>
  <c r="Q47" i="19"/>
  <c r="D53" i="20"/>
  <c r="R21" i="19"/>
  <c r="D31" i="20"/>
  <c r="R19" i="19"/>
  <c r="D29" i="20"/>
  <c r="D83" i="19"/>
  <c r="M27" i="19"/>
  <c r="B83" i="19"/>
  <c r="B85" i="19" s="1"/>
  <c r="B95" i="19" s="1"/>
  <c r="F83" i="19"/>
  <c r="K83" i="19"/>
  <c r="L27" i="19"/>
  <c r="L28" i="19" s="1"/>
  <c r="Q23" i="19"/>
  <c r="H83" i="19"/>
  <c r="J61" i="19"/>
  <c r="Q70" i="19"/>
  <c r="T105" i="19"/>
  <c r="E111" i="20" s="1"/>
  <c r="R46" i="19"/>
  <c r="Q44" i="19"/>
  <c r="Q38" i="19"/>
  <c r="R7" i="19"/>
  <c r="C27" i="19"/>
  <c r="J16" i="19"/>
  <c r="J23" i="19"/>
  <c r="G27" i="19"/>
  <c r="F27" i="19"/>
  <c r="F85" i="19" s="1"/>
  <c r="F95" i="19" s="1"/>
  <c r="E83" i="19"/>
  <c r="J70" i="19"/>
  <c r="R35" i="19"/>
  <c r="D27" i="19"/>
  <c r="I83" i="19"/>
  <c r="J58" i="19"/>
  <c r="H27" i="19"/>
  <c r="E27" i="19"/>
  <c r="J8" i="19"/>
  <c r="C83" i="19"/>
  <c r="G83" i="19"/>
  <c r="J44" i="19"/>
  <c r="J47" i="19"/>
  <c r="K27" i="19"/>
  <c r="Q16" i="19"/>
  <c r="L85" i="19"/>
  <c r="L95" i="19" s="1"/>
  <c r="L98" i="19" s="1"/>
  <c r="L100" i="19" s="1"/>
  <c r="R77" i="19"/>
  <c r="U79" i="19" s="1"/>
  <c r="T77" i="19"/>
  <c r="E81" i="20" s="1"/>
  <c r="V116" i="19"/>
  <c r="F122" i="20" s="1"/>
  <c r="R64" i="19"/>
  <c r="E69" i="20"/>
  <c r="E70" i="20" s="1"/>
  <c r="M85" i="19"/>
  <c r="M95" i="19" s="1"/>
  <c r="M28" i="19"/>
  <c r="O83" i="19"/>
  <c r="O85" i="19" s="1"/>
  <c r="O95" i="19" s="1"/>
  <c r="J92" i="19"/>
  <c r="R8" i="19"/>
  <c r="Q79" i="19"/>
  <c r="I27" i="19"/>
  <c r="J38" i="19"/>
  <c r="Q65" i="19"/>
  <c r="Q87" i="19"/>
  <c r="R40" i="19"/>
  <c r="Q49" i="19"/>
  <c r="R67" i="19"/>
  <c r="Q99" i="19"/>
  <c r="D103" i="20" s="1"/>
  <c r="J87" i="19"/>
  <c r="V127" i="16"/>
  <c r="T89" i="16"/>
  <c r="S89" i="16"/>
  <c r="T46" i="16"/>
  <c r="S46" i="16"/>
  <c r="T108" i="16"/>
  <c r="S108" i="16"/>
  <c r="E18" i="21" l="1"/>
  <c r="T58" i="19"/>
  <c r="E63" i="20" s="1"/>
  <c r="E61" i="20"/>
  <c r="H80" i="21"/>
  <c r="D18" i="20"/>
  <c r="E10" i="21"/>
  <c r="H10" i="21" s="1"/>
  <c r="I108" i="21"/>
  <c r="I109" i="21" s="1"/>
  <c r="I112" i="21" s="1"/>
  <c r="H15" i="21"/>
  <c r="G15" i="21"/>
  <c r="F18" i="21"/>
  <c r="E65" i="21"/>
  <c r="Q90" i="19"/>
  <c r="H39" i="21"/>
  <c r="E42" i="21"/>
  <c r="H42" i="21" s="1"/>
  <c r="D56" i="20"/>
  <c r="E48" i="21"/>
  <c r="V56" i="19"/>
  <c r="V58" i="19" s="1"/>
  <c r="F63" i="20" s="1"/>
  <c r="H116" i="21"/>
  <c r="F120" i="21"/>
  <c r="D91" i="20"/>
  <c r="E88" i="21"/>
  <c r="E122" i="20"/>
  <c r="I119" i="21"/>
  <c r="U116" i="19"/>
  <c r="F61" i="20"/>
  <c r="U58" i="19"/>
  <c r="V64" i="19"/>
  <c r="V90" i="19" s="1"/>
  <c r="T90" i="19"/>
  <c r="H34" i="21"/>
  <c r="E37" i="21"/>
  <c r="H37" i="21" s="1"/>
  <c r="H26" i="21"/>
  <c r="E30" i="21"/>
  <c r="H68" i="21"/>
  <c r="E71" i="21"/>
  <c r="H71" i="21" s="1"/>
  <c r="R79" i="19"/>
  <c r="D83" i="20"/>
  <c r="K85" i="19"/>
  <c r="K95" i="19" s="1"/>
  <c r="R38" i="19"/>
  <c r="D46" i="20"/>
  <c r="T120" i="19"/>
  <c r="D129" i="20"/>
  <c r="R44" i="19"/>
  <c r="D51" i="20"/>
  <c r="R65" i="19"/>
  <c r="D70" i="20"/>
  <c r="U65" i="19"/>
  <c r="U83" i="19" s="1"/>
  <c r="R16" i="19"/>
  <c r="D26" i="20"/>
  <c r="C85" i="19"/>
  <c r="C95" i="19" s="1"/>
  <c r="E85" i="19"/>
  <c r="E95" i="19" s="1"/>
  <c r="R47" i="19"/>
  <c r="D54" i="20"/>
  <c r="R70" i="19"/>
  <c r="D75" i="20"/>
  <c r="R23" i="19"/>
  <c r="D33" i="20"/>
  <c r="D85" i="19"/>
  <c r="D95" i="19" s="1"/>
  <c r="Q27" i="19"/>
  <c r="D37" i="20" s="1"/>
  <c r="H85" i="19"/>
  <c r="H95" i="19" s="1"/>
  <c r="G85" i="19"/>
  <c r="G95" i="19" s="1"/>
  <c r="J83" i="19"/>
  <c r="R87" i="19"/>
  <c r="Q105" i="19"/>
  <c r="F69" i="20"/>
  <c r="T65" i="19"/>
  <c r="I28" i="19"/>
  <c r="I85" i="19"/>
  <c r="J27" i="19"/>
  <c r="R49" i="19"/>
  <c r="Q58" i="19"/>
  <c r="D63" i="20" s="1"/>
  <c r="T79" i="19"/>
  <c r="E83" i="20" s="1"/>
  <c r="V77" i="19"/>
  <c r="H88" i="21" l="1"/>
  <c r="E108" i="21"/>
  <c r="E87" i="20"/>
  <c r="G18" i="21"/>
  <c r="H18" i="21"/>
  <c r="F30" i="21"/>
  <c r="I124" i="21"/>
  <c r="U120" i="19"/>
  <c r="I91" i="21"/>
  <c r="K91" i="21" s="1"/>
  <c r="T115" i="19"/>
  <c r="I118" i="21" s="1"/>
  <c r="H48" i="21"/>
  <c r="E59" i="21"/>
  <c r="H59" i="21" s="1"/>
  <c r="E91" i="21"/>
  <c r="H91" i="21" s="1"/>
  <c r="Q115" i="19"/>
  <c r="H65" i="21"/>
  <c r="E66" i="21"/>
  <c r="H66" i="21" s="1"/>
  <c r="Q28" i="19"/>
  <c r="R28" i="19" s="1"/>
  <c r="T122" i="19"/>
  <c r="I126" i="21" s="1"/>
  <c r="E127" i="20"/>
  <c r="V79" i="19"/>
  <c r="F83" i="20" s="1"/>
  <c r="F81" i="20"/>
  <c r="E121" i="20"/>
  <c r="Q106" i="19"/>
  <c r="D111" i="20"/>
  <c r="R27" i="19"/>
  <c r="T83" i="19"/>
  <c r="R58" i="19"/>
  <c r="Q83" i="19"/>
  <c r="D87" i="20" s="1"/>
  <c r="I95" i="19"/>
  <c r="I98" i="19" s="1"/>
  <c r="I100" i="19" s="1"/>
  <c r="J85" i="19"/>
  <c r="V65" i="19"/>
  <c r="V132" i="16"/>
  <c r="U122" i="19" l="1"/>
  <c r="H108" i="21"/>
  <c r="E109" i="21"/>
  <c r="E84" i="21"/>
  <c r="E118" i="21"/>
  <c r="H118" i="21" s="1"/>
  <c r="Q117" i="19"/>
  <c r="E92" i="21"/>
  <c r="H92" i="21" s="1"/>
  <c r="I92" i="21"/>
  <c r="K92" i="21" s="1"/>
  <c r="H30" i="21"/>
  <c r="G30" i="21"/>
  <c r="F86" i="21"/>
  <c r="T92" i="19"/>
  <c r="E96" i="20" s="1"/>
  <c r="E94" i="20"/>
  <c r="V83" i="19"/>
  <c r="F70" i="20"/>
  <c r="V120" i="19"/>
  <c r="E129" i="20"/>
  <c r="Q110" i="19"/>
  <c r="D115" i="20" s="1"/>
  <c r="D112" i="20"/>
  <c r="R83" i="19"/>
  <c r="Q85" i="19"/>
  <c r="V128" i="16"/>
  <c r="N64" i="16" s="1"/>
  <c r="E112" i="21" l="1"/>
  <c r="H112" i="21" s="1"/>
  <c r="H109" i="21"/>
  <c r="E120" i="21"/>
  <c r="H120" i="21" s="1"/>
  <c r="D123" i="20"/>
  <c r="I96" i="21"/>
  <c r="K96" i="21" s="1"/>
  <c r="G86" i="21"/>
  <c r="F96" i="21"/>
  <c r="H84" i="21"/>
  <c r="E86" i="21"/>
  <c r="E96" i="21" s="1"/>
  <c r="E99" i="21" s="1"/>
  <c r="F87" i="20"/>
  <c r="V122" i="19"/>
  <c r="F129" i="20" s="1"/>
  <c r="F127" i="20"/>
  <c r="D89" i="20"/>
  <c r="T104" i="19"/>
  <c r="U104" i="19" s="1"/>
  <c r="U106" i="19" s="1"/>
  <c r="U110" i="19" s="1"/>
  <c r="P64" i="16"/>
  <c r="N83" i="16"/>
  <c r="N85" i="16" s="1"/>
  <c r="N95" i="16" s="1"/>
  <c r="R85" i="19"/>
  <c r="T99" i="16"/>
  <c r="S99" i="16"/>
  <c r="H86" i="21" l="1"/>
  <c r="I99" i="21"/>
  <c r="G96" i="21"/>
  <c r="H96" i="21"/>
  <c r="E101" i="21"/>
  <c r="H101" i="21" s="1"/>
  <c r="H99" i="21"/>
  <c r="T106" i="19"/>
  <c r="E110" i="20"/>
  <c r="P115" i="16"/>
  <c r="P65" i="16"/>
  <c r="P83" i="16" s="1"/>
  <c r="P85" i="16" s="1"/>
  <c r="Q56" i="16"/>
  <c r="V130" i="16"/>
  <c r="S64" i="16" s="1"/>
  <c r="V129" i="16"/>
  <c r="I101" i="21" l="1"/>
  <c r="K101" i="21" s="1"/>
  <c r="K99" i="21"/>
  <c r="T110" i="19"/>
  <c r="E112" i="20"/>
  <c r="P90" i="16"/>
  <c r="T64" i="16"/>
  <c r="S65" i="16"/>
  <c r="V133" i="16"/>
  <c r="S56" i="16" s="1"/>
  <c r="V104" i="19" l="1"/>
  <c r="E115" i="20"/>
  <c r="Q64" i="16"/>
  <c r="S58" i="16"/>
  <c r="T56" i="16"/>
  <c r="V106" i="19" l="1"/>
  <c r="F110" i="20"/>
  <c r="S115" i="16"/>
  <c r="V110" i="19" l="1"/>
  <c r="F115" i="20" s="1"/>
  <c r="F112" i="20"/>
  <c r="S90" i="16"/>
  <c r="T115" i="16"/>
  <c r="T90" i="16" l="1"/>
  <c r="L99" i="16"/>
  <c r="I99" i="16"/>
  <c r="V131" i="16"/>
  <c r="Q81" i="16"/>
  <c r="Q78" i="16"/>
  <c r="Q76" i="16"/>
  <c r="Q75" i="16"/>
  <c r="Q74" i="16"/>
  <c r="Q73" i="16"/>
  <c r="Q69" i="16"/>
  <c r="Q68" i="16"/>
  <c r="Q61" i="16"/>
  <c r="Q55" i="16"/>
  <c r="Q52" i="16"/>
  <c r="Q51" i="16"/>
  <c r="Q50" i="16"/>
  <c r="Q43" i="16"/>
  <c r="Q42" i="16"/>
  <c r="Q41" i="16"/>
  <c r="Q37" i="16"/>
  <c r="Q36" i="16"/>
  <c r="Q25" i="16"/>
  <c r="Q21" i="16"/>
  <c r="Q20" i="16"/>
  <c r="Q19" i="16"/>
  <c r="Q15" i="16"/>
  <c r="Q14" i="16"/>
  <c r="Q13" i="16"/>
  <c r="Q12" i="16"/>
  <c r="Q11" i="16"/>
  <c r="Q7" i="16"/>
  <c r="Q72" i="16" l="1"/>
  <c r="S77" i="16"/>
  <c r="S79" i="16" s="1"/>
  <c r="Q77" i="16"/>
  <c r="Q49" i="16"/>
  <c r="Q35" i="16"/>
  <c r="Q40" i="16"/>
  <c r="Q46" i="16"/>
  <c r="Q60" i="16"/>
  <c r="Q67" i="16"/>
  <c r="Q10" i="16"/>
  <c r="Q18" i="16"/>
  <c r="T77" i="16" l="1"/>
  <c r="T79" i="16" s="1"/>
  <c r="S120" i="16" l="1"/>
  <c r="S122" i="16" s="1"/>
  <c r="T120" i="16" s="1"/>
  <c r="T122" i="16" s="1"/>
  <c r="L117" i="16"/>
  <c r="P113" i="16" s="1"/>
  <c r="P117" i="16" s="1"/>
  <c r="L105" i="16"/>
  <c r="L106" i="16" s="1"/>
  <c r="L108" i="16"/>
  <c r="S113" i="16" l="1"/>
  <c r="L110" i="16"/>
  <c r="P104" i="16" s="1"/>
  <c r="S116" i="16"/>
  <c r="S117" i="16" l="1"/>
  <c r="T113" i="16" s="1"/>
  <c r="T116" i="16"/>
  <c r="S70" i="16"/>
  <c r="T67" i="16"/>
  <c r="T70" i="16" s="1"/>
  <c r="T60" i="16"/>
  <c r="T65" i="16" s="1"/>
  <c r="T50" i="16"/>
  <c r="T51" i="16"/>
  <c r="T52" i="16"/>
  <c r="T53" i="16"/>
  <c r="T54" i="16"/>
  <c r="T55" i="16"/>
  <c r="T57" i="16"/>
  <c r="T49" i="16"/>
  <c r="T38" i="16"/>
  <c r="S38" i="16"/>
  <c r="T23" i="16"/>
  <c r="S23" i="16"/>
  <c r="S16" i="16"/>
  <c r="T16" i="16"/>
  <c r="D6" i="18"/>
  <c r="C6" i="18"/>
  <c r="T87" i="16"/>
  <c r="T92" i="16" s="1"/>
  <c r="T47" i="16"/>
  <c r="T44" i="16"/>
  <c r="B4" i="18"/>
  <c r="S87" i="16"/>
  <c r="S92" i="16" s="1"/>
  <c r="S47" i="16"/>
  <c r="S44" i="16"/>
  <c r="S7" i="16" l="1"/>
  <c r="S8" i="16" s="1"/>
  <c r="U7" i="19"/>
  <c r="U8" i="19" s="1"/>
  <c r="U27" i="19" s="1"/>
  <c r="U85" i="19" s="1"/>
  <c r="E89" i="20" s="1"/>
  <c r="T7" i="19"/>
  <c r="T8" i="19" s="1"/>
  <c r="T7" i="16"/>
  <c r="T8" i="16" s="1"/>
  <c r="T27" i="16" s="1"/>
  <c r="V7" i="19"/>
  <c r="V8" i="19" s="1"/>
  <c r="T117" i="16"/>
  <c r="T58" i="16"/>
  <c r="T83" i="16" s="1"/>
  <c r="S105" i="16"/>
  <c r="T105" i="16"/>
  <c r="S27" i="16"/>
  <c r="S83" i="16"/>
  <c r="E18" i="20" l="1"/>
  <c r="T27" i="19"/>
  <c r="F18" i="20"/>
  <c r="V27" i="19"/>
  <c r="S85" i="16"/>
  <c r="T85" i="16"/>
  <c r="E37" i="20" l="1"/>
  <c r="T85" i="19"/>
  <c r="T95" i="19" s="1"/>
  <c r="T98" i="19" s="1"/>
  <c r="F37" i="20"/>
  <c r="V85" i="19"/>
  <c r="F89" i="20" s="1"/>
  <c r="T95" i="16"/>
  <c r="T98" i="16" s="1"/>
  <c r="T100" i="16" s="1"/>
  <c r="S95" i="16"/>
  <c r="S98" i="16" s="1"/>
  <c r="S100" i="16" s="1"/>
  <c r="I79" i="16"/>
  <c r="E102" i="20" l="1"/>
  <c r="T100" i="19"/>
  <c r="E104" i="20" s="1"/>
  <c r="M16" i="16"/>
  <c r="Q16" i="16" s="1"/>
  <c r="M58" i="16"/>
  <c r="Q58" i="16" s="1"/>
  <c r="L38" i="16"/>
  <c r="L23" i="16"/>
  <c r="L16" i="16"/>
  <c r="L8" i="16"/>
  <c r="L92" i="16"/>
  <c r="L47" i="16"/>
  <c r="L44" i="16"/>
  <c r="L79" i="16"/>
  <c r="L70" i="16"/>
  <c r="L58" i="16"/>
  <c r="L65" i="16"/>
  <c r="I61" i="16"/>
  <c r="M87" i="16"/>
  <c r="P87" i="16" s="1"/>
  <c r="K87" i="16"/>
  <c r="I87" i="16"/>
  <c r="H87" i="16"/>
  <c r="H92" i="16" s="1"/>
  <c r="G87" i="16"/>
  <c r="G92" i="16" s="1"/>
  <c r="F87" i="16"/>
  <c r="F92" i="16" s="1"/>
  <c r="E87" i="16"/>
  <c r="E92" i="16" s="1"/>
  <c r="D87" i="16"/>
  <c r="D92" i="16" s="1"/>
  <c r="C87" i="16"/>
  <c r="C92" i="16" s="1"/>
  <c r="B87" i="16"/>
  <c r="B92" i="16" s="1"/>
  <c r="J81" i="16"/>
  <c r="M79" i="16"/>
  <c r="Q79" i="16" s="1"/>
  <c r="K79" i="16"/>
  <c r="H79" i="16"/>
  <c r="G79" i="16"/>
  <c r="F79" i="16"/>
  <c r="E79" i="16"/>
  <c r="D79" i="16"/>
  <c r="C79" i="16"/>
  <c r="B79" i="16"/>
  <c r="J78" i="16"/>
  <c r="J76" i="16"/>
  <c r="J75" i="16"/>
  <c r="J74" i="16"/>
  <c r="J73" i="16"/>
  <c r="J72" i="16"/>
  <c r="M70" i="16"/>
  <c r="Q70" i="16" s="1"/>
  <c r="K70" i="16"/>
  <c r="I70" i="16"/>
  <c r="H70" i="16"/>
  <c r="G70" i="16"/>
  <c r="F70" i="16"/>
  <c r="E70" i="16"/>
  <c r="D70" i="16"/>
  <c r="C70" i="16"/>
  <c r="B70" i="16"/>
  <c r="J69" i="16"/>
  <c r="J68" i="16"/>
  <c r="J67" i="16"/>
  <c r="M65" i="16"/>
  <c r="Q65" i="16" s="1"/>
  <c r="K65" i="16"/>
  <c r="H65" i="16"/>
  <c r="G65" i="16"/>
  <c r="F65" i="16"/>
  <c r="E65" i="16"/>
  <c r="D65" i="16"/>
  <c r="C65" i="16"/>
  <c r="B65" i="16"/>
  <c r="J63" i="16"/>
  <c r="J60" i="16"/>
  <c r="K58" i="16"/>
  <c r="I58" i="16"/>
  <c r="H58" i="16"/>
  <c r="G58" i="16"/>
  <c r="F58" i="16"/>
  <c r="E58" i="16"/>
  <c r="D58" i="16"/>
  <c r="C58" i="16"/>
  <c r="B58" i="16"/>
  <c r="J55" i="16"/>
  <c r="J54" i="16"/>
  <c r="J53" i="16"/>
  <c r="J52" i="16"/>
  <c r="J51" i="16"/>
  <c r="J50" i="16"/>
  <c r="J49" i="16"/>
  <c r="M47" i="16"/>
  <c r="Q47" i="16" s="1"/>
  <c r="K47" i="16"/>
  <c r="I47" i="16"/>
  <c r="H47" i="16"/>
  <c r="G47" i="16"/>
  <c r="F47" i="16"/>
  <c r="E47" i="16"/>
  <c r="D47" i="16"/>
  <c r="C47" i="16"/>
  <c r="B47" i="16"/>
  <c r="J46" i="16"/>
  <c r="M44" i="16"/>
  <c r="Q44" i="16" s="1"/>
  <c r="K44" i="16"/>
  <c r="I44" i="16"/>
  <c r="H44" i="16"/>
  <c r="G44" i="16"/>
  <c r="F44" i="16"/>
  <c r="E44" i="16"/>
  <c r="D44" i="16"/>
  <c r="C44" i="16"/>
  <c r="B44" i="16"/>
  <c r="J43" i="16"/>
  <c r="J42" i="16"/>
  <c r="J41" i="16"/>
  <c r="J40" i="16"/>
  <c r="M38" i="16"/>
  <c r="Q38" i="16" s="1"/>
  <c r="K38" i="16"/>
  <c r="I38" i="16"/>
  <c r="H38" i="16"/>
  <c r="G38" i="16"/>
  <c r="F38" i="16"/>
  <c r="E38" i="16"/>
  <c r="D38" i="16"/>
  <c r="C38" i="16"/>
  <c r="B38" i="16"/>
  <c r="J37" i="16"/>
  <c r="J36" i="16"/>
  <c r="J35" i="16"/>
  <c r="J25" i="16"/>
  <c r="M23" i="16"/>
  <c r="Q23" i="16" s="1"/>
  <c r="K23" i="16"/>
  <c r="I23" i="16"/>
  <c r="H23" i="16"/>
  <c r="G23" i="16"/>
  <c r="F23" i="16"/>
  <c r="E23" i="16"/>
  <c r="D23" i="16"/>
  <c r="C23" i="16"/>
  <c r="B23" i="16"/>
  <c r="J21" i="16"/>
  <c r="J20" i="16"/>
  <c r="J19" i="16"/>
  <c r="J18" i="16"/>
  <c r="K16" i="16"/>
  <c r="I16" i="16"/>
  <c r="H16" i="16"/>
  <c r="G16" i="16"/>
  <c r="F16" i="16"/>
  <c r="E16" i="16"/>
  <c r="D16" i="16"/>
  <c r="C16" i="16"/>
  <c r="B16" i="16"/>
  <c r="J13" i="16"/>
  <c r="J11" i="16"/>
  <c r="J10" i="16"/>
  <c r="M8" i="16"/>
  <c r="Q8" i="16" s="1"/>
  <c r="K8" i="16"/>
  <c r="I8" i="16"/>
  <c r="H8" i="16"/>
  <c r="G8" i="16"/>
  <c r="F8" i="16"/>
  <c r="E8" i="16"/>
  <c r="D8" i="16"/>
  <c r="C8" i="16"/>
  <c r="B8" i="16"/>
  <c r="J7" i="16"/>
  <c r="I514" i="15"/>
  <c r="I159" i="15"/>
  <c r="J159" i="15" s="1"/>
  <c r="I616" i="15"/>
  <c r="J363" i="15"/>
  <c r="J151" i="15"/>
  <c r="J284" i="15"/>
  <c r="J269" i="15"/>
  <c r="J489" i="15"/>
  <c r="J607" i="15"/>
  <c r="J310" i="15"/>
  <c r="J235" i="15"/>
  <c r="H514" i="15"/>
  <c r="J514" i="15" s="1"/>
  <c r="J279" i="15"/>
  <c r="J407" i="15"/>
  <c r="J408" i="15"/>
  <c r="J409" i="15"/>
  <c r="J410" i="15"/>
  <c r="J411" i="15"/>
  <c r="J414" i="15"/>
  <c r="J415" i="15"/>
  <c r="J416" i="15"/>
  <c r="J417" i="15"/>
  <c r="J418" i="15"/>
  <c r="J421" i="15"/>
  <c r="J422" i="15"/>
  <c r="J423" i="15"/>
  <c r="J424" i="15"/>
  <c r="J425" i="15"/>
  <c r="J426" i="15"/>
  <c r="J427" i="15"/>
  <c r="J428" i="15"/>
  <c r="J429" i="15"/>
  <c r="J430" i="15"/>
  <c r="J434" i="15"/>
  <c r="J435" i="15"/>
  <c r="J436" i="15"/>
  <c r="J437" i="15"/>
  <c r="J441" i="15"/>
  <c r="J445" i="15"/>
  <c r="J446" i="15"/>
  <c r="J450" i="15"/>
  <c r="J451" i="15"/>
  <c r="J452" i="15"/>
  <c r="J453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8" i="15"/>
  <c r="K478" i="15" s="1"/>
  <c r="J479" i="15"/>
  <c r="J480" i="15"/>
  <c r="J481" i="15"/>
  <c r="J482" i="15"/>
  <c r="J483" i="15"/>
  <c r="J484" i="15"/>
  <c r="J485" i="15"/>
  <c r="J486" i="15"/>
  <c r="J487" i="15"/>
  <c r="J488" i="15"/>
  <c r="J490" i="15"/>
  <c r="J491" i="15"/>
  <c r="J492" i="15"/>
  <c r="J493" i="15"/>
  <c r="J494" i="15"/>
  <c r="J495" i="15"/>
  <c r="J498" i="15"/>
  <c r="J501" i="15"/>
  <c r="J502" i="15"/>
  <c r="J503" i="15"/>
  <c r="J504" i="15"/>
  <c r="J505" i="15"/>
  <c r="J506" i="15"/>
  <c r="J507" i="15"/>
  <c r="J508" i="15"/>
  <c r="J511" i="15"/>
  <c r="J512" i="15"/>
  <c r="J513" i="15"/>
  <c r="J515" i="15"/>
  <c r="J516" i="15"/>
  <c r="J517" i="15"/>
  <c r="J518" i="15"/>
  <c r="J523" i="15"/>
  <c r="J524" i="15"/>
  <c r="J525" i="15"/>
  <c r="J526" i="15"/>
  <c r="J527" i="15"/>
  <c r="J528" i="15"/>
  <c r="J531" i="15"/>
  <c r="J532" i="15"/>
  <c r="J533" i="15"/>
  <c r="J534" i="15"/>
  <c r="J535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8" i="15"/>
  <c r="J559" i="15"/>
  <c r="J560" i="15"/>
  <c r="J561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5" i="15"/>
  <c r="J588" i="15"/>
  <c r="J589" i="15"/>
  <c r="J590" i="15"/>
  <c r="J594" i="15"/>
  <c r="J595" i="15"/>
  <c r="J596" i="15"/>
  <c r="J597" i="15"/>
  <c r="K597" i="15" s="1"/>
  <c r="J600" i="15"/>
  <c r="J601" i="15"/>
  <c r="J602" i="15"/>
  <c r="J603" i="15"/>
  <c r="J606" i="15"/>
  <c r="J608" i="15"/>
  <c r="J609" i="15"/>
  <c r="J610" i="15"/>
  <c r="J611" i="15"/>
  <c r="J612" i="15"/>
  <c r="J406" i="15"/>
  <c r="J343" i="15"/>
  <c r="J344" i="15"/>
  <c r="J345" i="15"/>
  <c r="J346" i="15"/>
  <c r="J347" i="15"/>
  <c r="J349" i="15"/>
  <c r="J350" i="15"/>
  <c r="J352" i="15"/>
  <c r="J353" i="15"/>
  <c r="J354" i="15"/>
  <c r="J355" i="15"/>
  <c r="J356" i="15"/>
  <c r="J357" i="15"/>
  <c r="J358" i="15"/>
  <c r="J364" i="15"/>
  <c r="J365" i="15"/>
  <c r="J366" i="15"/>
  <c r="J367" i="15"/>
  <c r="J368" i="15"/>
  <c r="J369" i="15"/>
  <c r="J372" i="15"/>
  <c r="J373" i="15"/>
  <c r="J374" i="15"/>
  <c r="J375" i="15"/>
  <c r="J376" i="15"/>
  <c r="J379" i="15"/>
  <c r="J380" i="15"/>
  <c r="J381" i="15"/>
  <c r="J382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342" i="15"/>
  <c r="K402" i="15" s="1"/>
  <c r="J328" i="15"/>
  <c r="J329" i="15"/>
  <c r="J330" i="15"/>
  <c r="J333" i="15"/>
  <c r="J334" i="15"/>
  <c r="J335" i="15"/>
  <c r="J273" i="15"/>
  <c r="J274" i="15"/>
  <c r="J275" i="15"/>
  <c r="J276" i="15"/>
  <c r="J277" i="15"/>
  <c r="J278" i="15"/>
  <c r="J280" i="15"/>
  <c r="J281" i="15"/>
  <c r="J282" i="15"/>
  <c r="J283" i="15"/>
  <c r="J285" i="15"/>
  <c r="J286" i="15"/>
  <c r="J287" i="15"/>
  <c r="J290" i="15"/>
  <c r="J291" i="15"/>
  <c r="J292" i="15"/>
  <c r="J293" i="15"/>
  <c r="J294" i="15"/>
  <c r="J295" i="15"/>
  <c r="J298" i="15"/>
  <c r="J299" i="15"/>
  <c r="J300" i="15"/>
  <c r="J303" i="15"/>
  <c r="J304" i="15"/>
  <c r="J305" i="15"/>
  <c r="J306" i="15"/>
  <c r="J307" i="15"/>
  <c r="J308" i="15"/>
  <c r="J309" i="15"/>
  <c r="J313" i="15"/>
  <c r="J316" i="15"/>
  <c r="J317" i="15"/>
  <c r="J320" i="15"/>
  <c r="J323" i="15"/>
  <c r="J324" i="15"/>
  <c r="J325" i="15"/>
  <c r="J173" i="15"/>
  <c r="J174" i="15"/>
  <c r="J175" i="15"/>
  <c r="J176" i="15"/>
  <c r="J179" i="15"/>
  <c r="J180" i="15"/>
  <c r="J181" i="15"/>
  <c r="J182" i="15"/>
  <c r="J183" i="15"/>
  <c r="J184" i="15"/>
  <c r="J185" i="15"/>
  <c r="J186" i="15"/>
  <c r="J189" i="15"/>
  <c r="J190" i="15"/>
  <c r="J191" i="15"/>
  <c r="J192" i="15"/>
  <c r="J193" i="15"/>
  <c r="J194" i="15"/>
  <c r="J195" i="15"/>
  <c r="J198" i="15"/>
  <c r="J199" i="15"/>
  <c r="J202" i="15"/>
  <c r="J203" i="15"/>
  <c r="J204" i="15"/>
  <c r="J205" i="15"/>
  <c r="J206" i="15"/>
  <c r="J207" i="15"/>
  <c r="J208" i="15"/>
  <c r="J212" i="15"/>
  <c r="J213" i="15"/>
  <c r="J214" i="15"/>
  <c r="J215" i="15"/>
  <c r="J216" i="15"/>
  <c r="J217" i="15"/>
  <c r="J218" i="15"/>
  <c r="J219" i="15"/>
  <c r="J223" i="15"/>
  <c r="J224" i="15"/>
  <c r="J227" i="15"/>
  <c r="J228" i="15"/>
  <c r="J229" i="15"/>
  <c r="J230" i="15"/>
  <c r="J231" i="15"/>
  <c r="J232" i="15"/>
  <c r="J233" i="15"/>
  <c r="J234" i="15"/>
  <c r="J236" i="15"/>
  <c r="J237" i="15"/>
  <c r="J238" i="15"/>
  <c r="J239" i="15"/>
  <c r="J240" i="15"/>
  <c r="J241" i="15"/>
  <c r="J242" i="15"/>
  <c r="J243" i="15"/>
  <c r="J244" i="15"/>
  <c r="J245" i="15"/>
  <c r="J248" i="15"/>
  <c r="J249" i="15"/>
  <c r="J250" i="15"/>
  <c r="J251" i="15"/>
  <c r="J252" i="15"/>
  <c r="J253" i="15"/>
  <c r="J254" i="15"/>
  <c r="J255" i="15"/>
  <c r="J256" i="15"/>
  <c r="J259" i="15"/>
  <c r="J260" i="15"/>
  <c r="J261" i="15"/>
  <c r="J262" i="15"/>
  <c r="J263" i="15"/>
  <c r="J264" i="15"/>
  <c r="J267" i="15"/>
  <c r="J268" i="15"/>
  <c r="J270" i="15"/>
  <c r="J271" i="15"/>
  <c r="J272" i="15"/>
  <c r="J65" i="15"/>
  <c r="J66" i="15"/>
  <c r="J67" i="15"/>
  <c r="J68" i="15"/>
  <c r="J69" i="15"/>
  <c r="J70" i="15"/>
  <c r="J71" i="15"/>
  <c r="J72" i="15"/>
  <c r="J73" i="15"/>
  <c r="J74" i="15"/>
  <c r="J75" i="15"/>
  <c r="J77" i="15"/>
  <c r="J78" i="15"/>
  <c r="J79" i="15"/>
  <c r="J80" i="15"/>
  <c r="J81" i="15"/>
  <c r="J82" i="15"/>
  <c r="J83" i="15"/>
  <c r="J85" i="15"/>
  <c r="J86" i="15"/>
  <c r="J87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3" i="15"/>
  <c r="J104" i="15"/>
  <c r="J105" i="15"/>
  <c r="J106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3" i="15"/>
  <c r="J124" i="15"/>
  <c r="J126" i="15"/>
  <c r="J127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4" i="15"/>
  <c r="J145" i="15"/>
  <c r="J146" i="15"/>
  <c r="J147" i="15"/>
  <c r="J148" i="15"/>
  <c r="J149" i="15"/>
  <c r="J150" i="15"/>
  <c r="J154" i="15"/>
  <c r="J155" i="15"/>
  <c r="J156" i="15"/>
  <c r="J157" i="15"/>
  <c r="J158" i="15"/>
  <c r="J160" i="15"/>
  <c r="J161" i="15"/>
  <c r="J164" i="15"/>
  <c r="J165" i="15"/>
  <c r="J166" i="15"/>
  <c r="J167" i="15"/>
  <c r="J168" i="15"/>
  <c r="J169" i="15"/>
  <c r="J170" i="15"/>
  <c r="J171" i="15"/>
  <c r="J172" i="15"/>
  <c r="J64" i="15"/>
  <c r="G410" i="14"/>
  <c r="G355" i="14"/>
  <c r="K355" i="14"/>
  <c r="G356" i="14"/>
  <c r="H356" i="14"/>
  <c r="G18" i="14"/>
  <c r="G134" i="14"/>
  <c r="G129" i="14"/>
  <c r="N159" i="14"/>
  <c r="N157" i="14"/>
  <c r="N156" i="14"/>
  <c r="G513" i="14"/>
  <c r="G362" i="14"/>
  <c r="H362" i="14" s="1"/>
  <c r="G157" i="14"/>
  <c r="G103" i="14"/>
  <c r="G84" i="14"/>
  <c r="G615" i="14" s="1"/>
  <c r="O158" i="14"/>
  <c r="N158" i="14"/>
  <c r="G156" i="14"/>
  <c r="G516" i="14"/>
  <c r="G497" i="14"/>
  <c r="H497" i="14" s="1"/>
  <c r="I175" i="14"/>
  <c r="G115" i="14"/>
  <c r="G114" i="14"/>
  <c r="G380" i="14"/>
  <c r="H380" i="14" s="1"/>
  <c r="G109" i="14"/>
  <c r="H602" i="14"/>
  <c r="H407" i="14"/>
  <c r="H408" i="14"/>
  <c r="I408" i="14" s="1"/>
  <c r="H409" i="14"/>
  <c r="H410" i="14"/>
  <c r="H413" i="14"/>
  <c r="H414" i="14"/>
  <c r="H415" i="14"/>
  <c r="H416" i="14"/>
  <c r="H417" i="14"/>
  <c r="H420" i="14"/>
  <c r="H421" i="14"/>
  <c r="H422" i="14"/>
  <c r="H423" i="14"/>
  <c r="H424" i="14"/>
  <c r="H425" i="14"/>
  <c r="H427" i="14"/>
  <c r="H428" i="14"/>
  <c r="H429" i="14"/>
  <c r="H433" i="14"/>
  <c r="H434" i="14"/>
  <c r="H435" i="14"/>
  <c r="H436" i="14"/>
  <c r="H440" i="14"/>
  <c r="H444" i="14"/>
  <c r="H445" i="14"/>
  <c r="H449" i="14"/>
  <c r="H450" i="14"/>
  <c r="H451" i="14"/>
  <c r="H452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500" i="14"/>
  <c r="H501" i="14"/>
  <c r="H502" i="14"/>
  <c r="H503" i="14"/>
  <c r="H504" i="14"/>
  <c r="H505" i="14"/>
  <c r="H506" i="14"/>
  <c r="H507" i="14"/>
  <c r="H510" i="14"/>
  <c r="H511" i="14"/>
  <c r="H512" i="14"/>
  <c r="H513" i="14"/>
  <c r="H514" i="14"/>
  <c r="H515" i="14"/>
  <c r="H516" i="14"/>
  <c r="H517" i="14"/>
  <c r="H522" i="14"/>
  <c r="H523" i="14"/>
  <c r="H524" i="14"/>
  <c r="H525" i="14"/>
  <c r="H526" i="14"/>
  <c r="H527" i="14"/>
  <c r="H530" i="14"/>
  <c r="H531" i="14"/>
  <c r="H532" i="14"/>
  <c r="H533" i="14"/>
  <c r="H534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7" i="14"/>
  <c r="H558" i="14"/>
  <c r="H559" i="14"/>
  <c r="H560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3" i="14"/>
  <c r="H584" i="14"/>
  <c r="H587" i="14"/>
  <c r="H588" i="14"/>
  <c r="H589" i="14"/>
  <c r="H594" i="14"/>
  <c r="H595" i="14"/>
  <c r="H596" i="14"/>
  <c r="H599" i="14"/>
  <c r="H600" i="14"/>
  <c r="H601" i="14"/>
  <c r="H604" i="14"/>
  <c r="H605" i="14"/>
  <c r="H606" i="14"/>
  <c r="H607" i="14"/>
  <c r="H608" i="14"/>
  <c r="H609" i="14"/>
  <c r="H610" i="14"/>
  <c r="H611" i="14"/>
  <c r="H405" i="14"/>
  <c r="H342" i="14"/>
  <c r="H343" i="14"/>
  <c r="H344" i="14"/>
  <c r="H345" i="14"/>
  <c r="H346" i="14"/>
  <c r="H348" i="14"/>
  <c r="H349" i="14"/>
  <c r="H352" i="14"/>
  <c r="H353" i="14"/>
  <c r="H354" i="14"/>
  <c r="H355" i="14"/>
  <c r="H357" i="14"/>
  <c r="H363" i="14"/>
  <c r="H364" i="14"/>
  <c r="H365" i="14"/>
  <c r="H366" i="14"/>
  <c r="H367" i="14"/>
  <c r="H368" i="14"/>
  <c r="H371" i="14"/>
  <c r="H372" i="14"/>
  <c r="H373" i="14"/>
  <c r="H374" i="14"/>
  <c r="H375" i="14"/>
  <c r="H378" i="14"/>
  <c r="H379" i="14"/>
  <c r="H381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341" i="14"/>
  <c r="H328" i="14"/>
  <c r="H174" i="14"/>
  <c r="H6" i="14"/>
  <c r="H7" i="14"/>
  <c r="H10" i="14"/>
  <c r="H11" i="14"/>
  <c r="H12" i="14"/>
  <c r="H13" i="14"/>
  <c r="H14" i="14"/>
  <c r="H18" i="14"/>
  <c r="H20" i="14"/>
  <c r="H21" i="14"/>
  <c r="H22" i="14"/>
  <c r="H23" i="14"/>
  <c r="H24" i="14"/>
  <c r="H25" i="14"/>
  <c r="H26" i="14"/>
  <c r="H27" i="14"/>
  <c r="H28" i="14"/>
  <c r="H29" i="14"/>
  <c r="H30" i="14"/>
  <c r="H32" i="14"/>
  <c r="H33" i="14"/>
  <c r="H34" i="14"/>
  <c r="H35" i="14"/>
  <c r="H36" i="14"/>
  <c r="H37" i="14"/>
  <c r="H38" i="14"/>
  <c r="H39" i="14"/>
  <c r="H41" i="14"/>
  <c r="H42" i="14"/>
  <c r="H45" i="14"/>
  <c r="H46" i="14"/>
  <c r="H47" i="14"/>
  <c r="H48" i="14"/>
  <c r="H49" i="14"/>
  <c r="H50" i="14"/>
  <c r="H51" i="14"/>
  <c r="H52" i="14"/>
  <c r="H53" i="14"/>
  <c r="H54" i="14"/>
  <c r="H55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5" i="14"/>
  <c r="H76" i="14"/>
  <c r="H77" i="14"/>
  <c r="H78" i="14"/>
  <c r="H79" i="14"/>
  <c r="H80" i="14"/>
  <c r="H81" i="14"/>
  <c r="H83" i="14"/>
  <c r="H84" i="14"/>
  <c r="H85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2" i="14"/>
  <c r="H103" i="14"/>
  <c r="H104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1" i="14"/>
  <c r="H122" i="14"/>
  <c r="H125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2" i="14"/>
  <c r="H143" i="14"/>
  <c r="H144" i="14"/>
  <c r="H145" i="14"/>
  <c r="H146" i="14"/>
  <c r="H147" i="14"/>
  <c r="H148" i="14"/>
  <c r="H149" i="14"/>
  <c r="H151" i="14"/>
  <c r="H152" i="14"/>
  <c r="H153" i="14"/>
  <c r="H154" i="14"/>
  <c r="H155" i="14"/>
  <c r="H156" i="14"/>
  <c r="H157" i="14"/>
  <c r="H158" i="14"/>
  <c r="H159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6" i="14"/>
  <c r="H177" i="14"/>
  <c r="H178" i="14"/>
  <c r="H179" i="14"/>
  <c r="H180" i="14"/>
  <c r="H181" i="14"/>
  <c r="H182" i="14"/>
  <c r="H183" i="14"/>
  <c r="H185" i="14"/>
  <c r="H186" i="14"/>
  <c r="H187" i="14"/>
  <c r="H188" i="14"/>
  <c r="H189" i="14"/>
  <c r="H190" i="14"/>
  <c r="H191" i="14"/>
  <c r="H192" i="14"/>
  <c r="H194" i="14"/>
  <c r="H195" i="14"/>
  <c r="H196" i="14"/>
  <c r="H198" i="14"/>
  <c r="H199" i="14"/>
  <c r="H200" i="14"/>
  <c r="H201" i="14"/>
  <c r="H202" i="14"/>
  <c r="H203" i="14"/>
  <c r="H204" i="14"/>
  <c r="H205" i="14"/>
  <c r="H207" i="14"/>
  <c r="H208" i="14"/>
  <c r="H209" i="14"/>
  <c r="H210" i="14"/>
  <c r="H211" i="14"/>
  <c r="H212" i="14"/>
  <c r="H213" i="14"/>
  <c r="H214" i="14"/>
  <c r="H215" i="14"/>
  <c r="H216" i="14"/>
  <c r="H220" i="14"/>
  <c r="H221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6" i="14"/>
  <c r="H247" i="14"/>
  <c r="H248" i="14"/>
  <c r="H251" i="14"/>
  <c r="H252" i="14"/>
  <c r="H253" i="14"/>
  <c r="H254" i="14"/>
  <c r="H255" i="14"/>
  <c r="H257" i="14"/>
  <c r="H258" i="14"/>
  <c r="H259" i="14"/>
  <c r="H260" i="14"/>
  <c r="H261" i="14"/>
  <c r="H262" i="14"/>
  <c r="H263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8" i="14"/>
  <c r="H289" i="14"/>
  <c r="H290" i="14"/>
  <c r="H291" i="14"/>
  <c r="H292" i="14"/>
  <c r="H293" i="14"/>
  <c r="H294" i="14"/>
  <c r="H296" i="14"/>
  <c r="H297" i="14"/>
  <c r="H298" i="14"/>
  <c r="H299" i="14"/>
  <c r="H301" i="14"/>
  <c r="H302" i="14"/>
  <c r="H303" i="14"/>
  <c r="H304" i="14"/>
  <c r="H305" i="14"/>
  <c r="H306" i="14"/>
  <c r="H307" i="14"/>
  <c r="H308" i="14"/>
  <c r="H309" i="14"/>
  <c r="H311" i="14"/>
  <c r="H312" i="14"/>
  <c r="H315" i="14"/>
  <c r="H316" i="14"/>
  <c r="H318" i="14"/>
  <c r="H319" i="14"/>
  <c r="H322" i="14"/>
  <c r="H323" i="14"/>
  <c r="H324" i="14"/>
  <c r="H329" i="14"/>
  <c r="H331" i="14"/>
  <c r="H332" i="14"/>
  <c r="H333" i="14"/>
  <c r="H334" i="14"/>
  <c r="H5" i="14"/>
  <c r="I406" i="14" s="1"/>
  <c r="I200" i="14"/>
  <c r="G111" i="13"/>
  <c r="G383" i="13"/>
  <c r="G408" i="13"/>
  <c r="G413" i="13"/>
  <c r="G18" i="13"/>
  <c r="H285" i="12"/>
  <c r="G285" i="13"/>
  <c r="J340" i="13" s="1"/>
  <c r="G428" i="13"/>
  <c r="G70" i="13"/>
  <c r="G364" i="13"/>
  <c r="G617" i="13"/>
  <c r="H428" i="13"/>
  <c r="H409" i="13"/>
  <c r="H410" i="13"/>
  <c r="H411" i="13"/>
  <c r="H412" i="13"/>
  <c r="H413" i="13"/>
  <c r="H416" i="13"/>
  <c r="H417" i="13"/>
  <c r="H418" i="13"/>
  <c r="H419" i="13"/>
  <c r="H420" i="13"/>
  <c r="H423" i="13"/>
  <c r="H424" i="13"/>
  <c r="H425" i="13"/>
  <c r="H426" i="13"/>
  <c r="H427" i="13"/>
  <c r="H430" i="13"/>
  <c r="H431" i="13"/>
  <c r="H432" i="13"/>
  <c r="H437" i="13"/>
  <c r="H438" i="13"/>
  <c r="H439" i="13"/>
  <c r="H443" i="13"/>
  <c r="H446" i="13"/>
  <c r="H447" i="13"/>
  <c r="H448" i="13"/>
  <c r="H452" i="13"/>
  <c r="H453" i="13"/>
  <c r="H454" i="13"/>
  <c r="H455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9" i="13"/>
  <c r="H502" i="13"/>
  <c r="H503" i="13"/>
  <c r="H504" i="13"/>
  <c r="H505" i="13"/>
  <c r="H506" i="13"/>
  <c r="H507" i="13"/>
  <c r="H508" i="13"/>
  <c r="H509" i="13"/>
  <c r="H512" i="13"/>
  <c r="H513" i="13"/>
  <c r="H514" i="13"/>
  <c r="H515" i="13"/>
  <c r="H516" i="13"/>
  <c r="H517" i="13"/>
  <c r="H518" i="13"/>
  <c r="H519" i="13"/>
  <c r="H524" i="13"/>
  <c r="H525" i="13"/>
  <c r="H526" i="13"/>
  <c r="H527" i="13"/>
  <c r="H528" i="13"/>
  <c r="H529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601" i="13"/>
  <c r="H602" i="13"/>
  <c r="H603" i="13"/>
  <c r="H604" i="13"/>
  <c r="H607" i="13"/>
  <c r="H608" i="13"/>
  <c r="H609" i="13"/>
  <c r="H610" i="13"/>
  <c r="H611" i="13"/>
  <c r="H612" i="13"/>
  <c r="H613" i="13"/>
  <c r="H408" i="13"/>
  <c r="H345" i="13"/>
  <c r="H346" i="13"/>
  <c r="H347" i="13"/>
  <c r="H348" i="13"/>
  <c r="H349" i="13"/>
  <c r="H352" i="13"/>
  <c r="H355" i="13"/>
  <c r="H356" i="13"/>
  <c r="H357" i="13"/>
  <c r="H358" i="13"/>
  <c r="H359" i="13"/>
  <c r="H364" i="13"/>
  <c r="H365" i="13"/>
  <c r="H366" i="13"/>
  <c r="H367" i="13"/>
  <c r="H368" i="13"/>
  <c r="H369" i="13"/>
  <c r="H370" i="13"/>
  <c r="H371" i="13"/>
  <c r="H374" i="13"/>
  <c r="H375" i="13"/>
  <c r="H376" i="13"/>
  <c r="H377" i="13"/>
  <c r="H378" i="13"/>
  <c r="H381" i="13"/>
  <c r="H382" i="13"/>
  <c r="H383" i="13"/>
  <c r="H384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344" i="13"/>
  <c r="H6" i="13"/>
  <c r="H7" i="13"/>
  <c r="H10" i="13"/>
  <c r="H11" i="13"/>
  <c r="H12" i="13"/>
  <c r="H13" i="13"/>
  <c r="H14" i="13"/>
  <c r="H18" i="13"/>
  <c r="H21" i="13"/>
  <c r="H22" i="13"/>
  <c r="H23" i="13"/>
  <c r="H24" i="13"/>
  <c r="H25" i="13"/>
  <c r="H26" i="13"/>
  <c r="H27" i="13"/>
  <c r="H28" i="13"/>
  <c r="H29" i="13"/>
  <c r="H30" i="13"/>
  <c r="H33" i="13"/>
  <c r="H34" i="13"/>
  <c r="H35" i="13"/>
  <c r="H36" i="13"/>
  <c r="H37" i="13"/>
  <c r="H38" i="13"/>
  <c r="H39" i="13"/>
  <c r="H42" i="13"/>
  <c r="H46" i="13"/>
  <c r="H47" i="13"/>
  <c r="H48" i="13"/>
  <c r="H49" i="13"/>
  <c r="H50" i="13"/>
  <c r="H51" i="13"/>
  <c r="H52" i="13"/>
  <c r="H53" i="13"/>
  <c r="H54" i="13"/>
  <c r="H55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6" i="13"/>
  <c r="H77" i="13"/>
  <c r="H78" i="13"/>
  <c r="H79" i="13"/>
  <c r="H80" i="13"/>
  <c r="H81" i="13"/>
  <c r="H84" i="13"/>
  <c r="H85" i="13"/>
  <c r="H90" i="13"/>
  <c r="H91" i="13"/>
  <c r="H92" i="13"/>
  <c r="H95" i="13"/>
  <c r="H96" i="13"/>
  <c r="H99" i="13"/>
  <c r="H100" i="13"/>
  <c r="H101" i="13"/>
  <c r="H102" i="13"/>
  <c r="H103" i="13"/>
  <c r="H104" i="13"/>
  <c r="H105" i="13"/>
  <c r="H106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4" i="13"/>
  <c r="H127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8" i="13"/>
  <c r="H149" i="13"/>
  <c r="H150" i="13"/>
  <c r="H151" i="13"/>
  <c r="H154" i="13"/>
  <c r="H155" i="13"/>
  <c r="H156" i="13"/>
  <c r="H157" i="13"/>
  <c r="H158" i="13"/>
  <c r="H159" i="13"/>
  <c r="H160" i="13"/>
  <c r="H161" i="13"/>
  <c r="H164" i="13"/>
  <c r="H165" i="13"/>
  <c r="H166" i="13"/>
  <c r="H167" i="13"/>
  <c r="I164" i="13" s="1"/>
  <c r="H168" i="13"/>
  <c r="H169" i="13"/>
  <c r="H170" i="13"/>
  <c r="H171" i="13"/>
  <c r="H172" i="13"/>
  <c r="H173" i="13"/>
  <c r="H174" i="13"/>
  <c r="H175" i="13"/>
  <c r="H176" i="13"/>
  <c r="H179" i="13"/>
  <c r="H180" i="13"/>
  <c r="H181" i="13"/>
  <c r="H182" i="13"/>
  <c r="H183" i="13"/>
  <c r="H184" i="13"/>
  <c r="H185" i="13"/>
  <c r="H188" i="13"/>
  <c r="H189" i="13"/>
  <c r="H190" i="13"/>
  <c r="H191" i="13"/>
  <c r="H192" i="13"/>
  <c r="H193" i="13"/>
  <c r="H194" i="13"/>
  <c r="H197" i="13"/>
  <c r="H198" i="13"/>
  <c r="H201" i="13"/>
  <c r="H202" i="13"/>
  <c r="H203" i="13"/>
  <c r="I202" i="13" s="1"/>
  <c r="I177" i="13" s="1"/>
  <c r="H204" i="13"/>
  <c r="H205" i="13"/>
  <c r="H206" i="13"/>
  <c r="H207" i="13"/>
  <c r="H211" i="13"/>
  <c r="H212" i="13"/>
  <c r="H213" i="13"/>
  <c r="H214" i="13"/>
  <c r="H215" i="13"/>
  <c r="H216" i="13"/>
  <c r="H217" i="13"/>
  <c r="H218" i="13"/>
  <c r="H223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9" i="13"/>
  <c r="H250" i="13"/>
  <c r="H253" i="13"/>
  <c r="H254" i="13"/>
  <c r="H255" i="13"/>
  <c r="H256" i="13"/>
  <c r="H257" i="13"/>
  <c r="H260" i="13"/>
  <c r="H261" i="13"/>
  <c r="H262" i="13"/>
  <c r="H263" i="13"/>
  <c r="H264" i="13"/>
  <c r="H265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6" i="13"/>
  <c r="H287" i="13"/>
  <c r="H288" i="13"/>
  <c r="H291" i="13"/>
  <c r="H292" i="13"/>
  <c r="H293" i="13"/>
  <c r="H294" i="13"/>
  <c r="H295" i="13"/>
  <c r="H296" i="13"/>
  <c r="H299" i="13"/>
  <c r="H300" i="13"/>
  <c r="H301" i="13"/>
  <c r="H305" i="13"/>
  <c r="H306" i="13"/>
  <c r="H307" i="13"/>
  <c r="H308" i="13"/>
  <c r="H309" i="13"/>
  <c r="H310" i="13"/>
  <c r="H311" i="13"/>
  <c r="H314" i="13"/>
  <c r="H318" i="13"/>
  <c r="H321" i="13"/>
  <c r="H325" i="13"/>
  <c r="H326" i="13"/>
  <c r="H330" i="13"/>
  <c r="H331" i="13"/>
  <c r="H334" i="13"/>
  <c r="H335" i="13"/>
  <c r="H336" i="13"/>
  <c r="H5" i="13"/>
  <c r="H149" i="12"/>
  <c r="H151" i="12"/>
  <c r="H423" i="12"/>
  <c r="H10" i="12"/>
  <c r="H12" i="12"/>
  <c r="H382" i="12"/>
  <c r="H111" i="12"/>
  <c r="H113" i="12"/>
  <c r="H103" i="12"/>
  <c r="G363" i="12"/>
  <c r="H265" i="12"/>
  <c r="H381" i="12"/>
  <c r="G498" i="12"/>
  <c r="H498" i="12" s="1"/>
  <c r="H555" i="12"/>
  <c r="G514" i="12"/>
  <c r="H576" i="12"/>
  <c r="G547" i="12"/>
  <c r="G407" i="12"/>
  <c r="H407" i="12"/>
  <c r="H409" i="12"/>
  <c r="H410" i="12"/>
  <c r="G412" i="12"/>
  <c r="G357" i="12"/>
  <c r="H357" i="12" s="1"/>
  <c r="H358" i="12"/>
  <c r="G18" i="12"/>
  <c r="H18" i="12"/>
  <c r="H548" i="12"/>
  <c r="H373" i="12"/>
  <c r="H374" i="12"/>
  <c r="H375" i="12"/>
  <c r="H376" i="12"/>
  <c r="H377" i="12"/>
  <c r="H76" i="12"/>
  <c r="H77" i="12"/>
  <c r="H78" i="12"/>
  <c r="H79" i="12"/>
  <c r="H80" i="12"/>
  <c r="H81" i="12"/>
  <c r="G155" i="12"/>
  <c r="H155" i="12" s="1"/>
  <c r="G156" i="12"/>
  <c r="G157" i="12"/>
  <c r="H157" i="12" s="1"/>
  <c r="H84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6" i="12"/>
  <c r="H287" i="12"/>
  <c r="H288" i="12"/>
  <c r="H547" i="12"/>
  <c r="H523" i="12"/>
  <c r="H524" i="12"/>
  <c r="H525" i="12"/>
  <c r="H526" i="12"/>
  <c r="H527" i="12"/>
  <c r="H528" i="12"/>
  <c r="H531" i="12"/>
  <c r="H532" i="12"/>
  <c r="H533" i="12"/>
  <c r="H534" i="12"/>
  <c r="H535" i="12"/>
  <c r="H540" i="12"/>
  <c r="H541" i="12"/>
  <c r="H542" i="12"/>
  <c r="H543" i="12"/>
  <c r="H544" i="12"/>
  <c r="H545" i="12"/>
  <c r="H546" i="12"/>
  <c r="H549" i="12"/>
  <c r="H550" i="12"/>
  <c r="H551" i="12"/>
  <c r="H552" i="12"/>
  <c r="H553" i="12"/>
  <c r="H554" i="12"/>
  <c r="H558" i="12"/>
  <c r="H559" i="12"/>
  <c r="H560" i="12"/>
  <c r="H561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7" i="12"/>
  <c r="H578" i="12"/>
  <c r="H579" i="12"/>
  <c r="H580" i="12"/>
  <c r="H581" i="12"/>
  <c r="H582" i="12"/>
  <c r="H585" i="12"/>
  <c r="H588" i="12"/>
  <c r="H589" i="12"/>
  <c r="H590" i="12"/>
  <c r="G110" i="11"/>
  <c r="H321" i="12"/>
  <c r="H363" i="12"/>
  <c r="H367" i="12"/>
  <c r="H411" i="12"/>
  <c r="H344" i="12"/>
  <c r="H159" i="12"/>
  <c r="H156" i="12"/>
  <c r="H412" i="12"/>
  <c r="H408" i="12"/>
  <c r="H380" i="12"/>
  <c r="H383" i="12"/>
  <c r="H330" i="12"/>
  <c r="H42" i="12"/>
  <c r="H416" i="12"/>
  <c r="H442" i="12"/>
  <c r="H438" i="12"/>
  <c r="H431" i="12"/>
  <c r="H348" i="12"/>
  <c r="H346" i="12"/>
  <c r="H347" i="12"/>
  <c r="H345" i="12"/>
  <c r="H343" i="12"/>
  <c r="I292" i="11"/>
  <c r="H223" i="12"/>
  <c r="H39" i="12"/>
  <c r="H34" i="12"/>
  <c r="H35" i="12"/>
  <c r="H36" i="12"/>
  <c r="H37" i="12"/>
  <c r="H38" i="12"/>
  <c r="H33" i="12"/>
  <c r="H13" i="12"/>
  <c r="H606" i="12"/>
  <c r="H607" i="12"/>
  <c r="H608" i="12"/>
  <c r="H609" i="12"/>
  <c r="H610" i="12"/>
  <c r="H611" i="12"/>
  <c r="H612" i="12"/>
  <c r="H600" i="12"/>
  <c r="H601" i="12"/>
  <c r="H602" i="12"/>
  <c r="H603" i="12"/>
  <c r="H597" i="12"/>
  <c r="I597" i="12" s="1"/>
  <c r="H511" i="12"/>
  <c r="H512" i="12"/>
  <c r="H513" i="12"/>
  <c r="H515" i="12"/>
  <c r="H516" i="12"/>
  <c r="H517" i="12"/>
  <c r="H518" i="12"/>
  <c r="H479" i="12"/>
  <c r="H480" i="12"/>
  <c r="H481" i="12"/>
  <c r="H482" i="12"/>
  <c r="H483" i="12"/>
  <c r="H484" i="12"/>
  <c r="H485" i="12"/>
  <c r="H486" i="12"/>
  <c r="H487" i="12"/>
  <c r="H501" i="12"/>
  <c r="H502" i="12"/>
  <c r="H503" i="12"/>
  <c r="H504" i="12"/>
  <c r="H505" i="12"/>
  <c r="H506" i="12"/>
  <c r="H507" i="12"/>
  <c r="H508" i="12"/>
  <c r="H369" i="12"/>
  <c r="H489" i="12"/>
  <c r="H492" i="12"/>
  <c r="H488" i="12"/>
  <c r="H451" i="12"/>
  <c r="H452" i="12"/>
  <c r="H453" i="12"/>
  <c r="H454" i="12"/>
  <c r="H458" i="12"/>
  <c r="H474" i="12"/>
  <c r="H436" i="12"/>
  <c r="H427" i="12"/>
  <c r="H429" i="12"/>
  <c r="H415" i="12"/>
  <c r="H417" i="12"/>
  <c r="H418" i="12"/>
  <c r="H419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356" i="12"/>
  <c r="H354" i="12"/>
  <c r="H325" i="12"/>
  <c r="H326" i="12"/>
  <c r="H318" i="12"/>
  <c r="H299" i="12"/>
  <c r="H300" i="12"/>
  <c r="H301" i="12"/>
  <c r="H291" i="12"/>
  <c r="H292" i="12"/>
  <c r="H293" i="12"/>
  <c r="H294" i="12"/>
  <c r="H295" i="12"/>
  <c r="H296" i="12"/>
  <c r="H260" i="12"/>
  <c r="H261" i="12"/>
  <c r="H262" i="12"/>
  <c r="H263" i="12"/>
  <c r="H264" i="12"/>
  <c r="H253" i="12"/>
  <c r="H254" i="12"/>
  <c r="H255" i="12"/>
  <c r="H256" i="12"/>
  <c r="H257" i="12"/>
  <c r="H229" i="12"/>
  <c r="H230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99" i="12"/>
  <c r="H100" i="12"/>
  <c r="H101" i="12"/>
  <c r="H102" i="12"/>
  <c r="H104" i="12"/>
  <c r="H105" i="12"/>
  <c r="H106" i="12"/>
  <c r="H127" i="12"/>
  <c r="H124" i="12"/>
  <c r="H95" i="12"/>
  <c r="H109" i="12"/>
  <c r="H110" i="12"/>
  <c r="H112" i="12"/>
  <c r="H114" i="12"/>
  <c r="H115" i="12"/>
  <c r="H116" i="12"/>
  <c r="H117" i="12"/>
  <c r="H118" i="12"/>
  <c r="H85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46" i="12"/>
  <c r="H47" i="12"/>
  <c r="H48" i="12"/>
  <c r="H49" i="12"/>
  <c r="H50" i="12"/>
  <c r="H51" i="12"/>
  <c r="H52" i="12"/>
  <c r="H53" i="12"/>
  <c r="H54" i="12"/>
  <c r="H55" i="12"/>
  <c r="H21" i="12"/>
  <c r="H22" i="12"/>
  <c r="H23" i="12"/>
  <c r="H24" i="12"/>
  <c r="H25" i="12"/>
  <c r="H26" i="12"/>
  <c r="H27" i="12"/>
  <c r="H28" i="12"/>
  <c r="H29" i="12"/>
  <c r="H30" i="12"/>
  <c r="H14" i="12"/>
  <c r="H11" i="12"/>
  <c r="H5" i="12"/>
  <c r="H6" i="12"/>
  <c r="H7" i="12"/>
  <c r="H351" i="12"/>
  <c r="H355" i="12"/>
  <c r="H364" i="12"/>
  <c r="H365" i="12"/>
  <c r="H366" i="12"/>
  <c r="H368" i="12"/>
  <c r="H370" i="12"/>
  <c r="H422" i="12"/>
  <c r="H424" i="12"/>
  <c r="H425" i="12"/>
  <c r="H426" i="12"/>
  <c r="H430" i="12"/>
  <c r="H437" i="12"/>
  <c r="H446" i="12"/>
  <c r="H447" i="12"/>
  <c r="H457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90" i="12"/>
  <c r="H491" i="12"/>
  <c r="H493" i="12"/>
  <c r="H494" i="12"/>
  <c r="H495" i="12"/>
  <c r="H595" i="12"/>
  <c r="H596" i="12"/>
  <c r="H88" i="12"/>
  <c r="H89" i="12"/>
  <c r="H90" i="12"/>
  <c r="H91" i="12"/>
  <c r="H92" i="12"/>
  <c r="H96" i="12"/>
  <c r="H119" i="12"/>
  <c r="H120" i="12"/>
  <c r="H121" i="12"/>
  <c r="H148" i="12"/>
  <c r="H150" i="12"/>
  <c r="H154" i="12"/>
  <c r="H158" i="12"/>
  <c r="H160" i="12"/>
  <c r="H161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9" i="12"/>
  <c r="H180" i="12"/>
  <c r="H181" i="12"/>
  <c r="H182" i="12"/>
  <c r="H183" i="12"/>
  <c r="H184" i="12"/>
  <c r="H185" i="12"/>
  <c r="H188" i="12"/>
  <c r="H189" i="12"/>
  <c r="H190" i="12"/>
  <c r="H191" i="12"/>
  <c r="H192" i="12"/>
  <c r="H193" i="12"/>
  <c r="H194" i="12"/>
  <c r="H197" i="12"/>
  <c r="H198" i="12"/>
  <c r="H201" i="12"/>
  <c r="H202" i="12"/>
  <c r="H203" i="12"/>
  <c r="H204" i="12"/>
  <c r="H205" i="12"/>
  <c r="H206" i="12"/>
  <c r="H207" i="12"/>
  <c r="H211" i="12"/>
  <c r="H212" i="12"/>
  <c r="H213" i="12"/>
  <c r="H214" i="12"/>
  <c r="H215" i="12"/>
  <c r="H216" i="12"/>
  <c r="H217" i="12"/>
  <c r="H218" i="12"/>
  <c r="H231" i="12"/>
  <c r="H232" i="12"/>
  <c r="H249" i="12"/>
  <c r="H250" i="12"/>
  <c r="H305" i="12"/>
  <c r="H306" i="12"/>
  <c r="H307" i="12"/>
  <c r="H308" i="12"/>
  <c r="H309" i="12"/>
  <c r="H310" i="12"/>
  <c r="H311" i="12"/>
  <c r="H314" i="12"/>
  <c r="H331" i="12"/>
  <c r="H334" i="12"/>
  <c r="H335" i="12"/>
  <c r="H336" i="12"/>
  <c r="H443" i="11"/>
  <c r="H334" i="11"/>
  <c r="G331" i="11"/>
  <c r="G332" i="11"/>
  <c r="G333" i="11"/>
  <c r="G334" i="11"/>
  <c r="G335" i="11"/>
  <c r="G336" i="11"/>
  <c r="H17" i="11"/>
  <c r="H42" i="11"/>
  <c r="H98" i="11"/>
  <c r="H274" i="11"/>
  <c r="H279" i="11"/>
  <c r="H289" i="11"/>
  <c r="H317" i="11"/>
  <c r="I317" i="11"/>
  <c r="G429" i="11"/>
  <c r="G424" i="11"/>
  <c r="H396" i="11"/>
  <c r="I396" i="11"/>
  <c r="G72" i="10"/>
  <c r="G172" i="10"/>
  <c r="I222" i="10" s="1"/>
  <c r="I599" i="10" s="1"/>
  <c r="G396" i="10"/>
  <c r="I396" i="10"/>
  <c r="I341" i="10"/>
  <c r="I342" i="10"/>
  <c r="I343" i="10"/>
  <c r="I422" i="10"/>
  <c r="I427" i="10"/>
  <c r="H484" i="11"/>
  <c r="I589" i="11"/>
  <c r="I415" i="10"/>
  <c r="I423" i="12"/>
  <c r="I400" i="10"/>
  <c r="G333" i="8"/>
  <c r="H351" i="11"/>
  <c r="I411" i="11"/>
  <c r="I370" i="10"/>
  <c r="I426" i="10"/>
  <c r="G599" i="11"/>
  <c r="G584" i="11"/>
  <c r="G590" i="11"/>
  <c r="I463" i="10"/>
  <c r="K463" i="10" s="1"/>
  <c r="I464" i="10"/>
  <c r="I465" i="10"/>
  <c r="I466" i="10"/>
  <c r="I467" i="10"/>
  <c r="I468" i="10"/>
  <c r="I469" i="10"/>
  <c r="I470" i="10"/>
  <c r="I478" i="10"/>
  <c r="I483" i="10"/>
  <c r="I493" i="10"/>
  <c r="I503" i="10"/>
  <c r="I587" i="10"/>
  <c r="I357" i="10"/>
  <c r="I581" i="10"/>
  <c r="G498" i="10"/>
  <c r="I498" i="10"/>
  <c r="G501" i="10"/>
  <c r="I501" i="10"/>
  <c r="G505" i="11"/>
  <c r="G495" i="11"/>
  <c r="G485" i="11"/>
  <c r="G482" i="11"/>
  <c r="G441" i="11"/>
  <c r="G461" i="11"/>
  <c r="G462" i="11" s="1"/>
  <c r="G463" i="11" s="1"/>
  <c r="G434" i="11"/>
  <c r="G397" i="11"/>
  <c r="G416" i="11"/>
  <c r="G417" i="11"/>
  <c r="G404" i="11"/>
  <c r="G372" i="11"/>
  <c r="G366" i="11"/>
  <c r="G359" i="11"/>
  <c r="G347" i="11"/>
  <c r="G386" i="11"/>
  <c r="G340" i="11"/>
  <c r="G226" i="11"/>
  <c r="G158" i="11"/>
  <c r="G324" i="11"/>
  <c r="G319" i="11"/>
  <c r="G312" i="11"/>
  <c r="G313" i="11" s="1"/>
  <c r="G309" i="11"/>
  <c r="G306" i="11"/>
  <c r="G301" i="11"/>
  <c r="G293" i="11"/>
  <c r="G255" i="11"/>
  <c r="G270" i="11"/>
  <c r="G262" i="11"/>
  <c r="G250" i="11"/>
  <c r="G251" i="11" s="1"/>
  <c r="G271" i="11" s="1"/>
  <c r="G246" i="11"/>
  <c r="G146" i="11"/>
  <c r="G131" i="11"/>
  <c r="G128" i="11"/>
  <c r="G125" i="11"/>
  <c r="G100" i="11"/>
  <c r="G96" i="11"/>
  <c r="G89" i="11"/>
  <c r="G85" i="11"/>
  <c r="G77" i="11"/>
  <c r="G58" i="11"/>
  <c r="G43" i="11"/>
  <c r="G40" i="11"/>
  <c r="G31" i="11"/>
  <c r="G15" i="11"/>
  <c r="G8" i="11"/>
  <c r="G59" i="11" s="1"/>
  <c r="I8" i="10"/>
  <c r="I10" i="10"/>
  <c r="I11" i="10"/>
  <c r="I12" i="10"/>
  <c r="I13" i="10"/>
  <c r="I14" i="10"/>
  <c r="I40" i="10"/>
  <c r="I17" i="10"/>
  <c r="I31" i="10"/>
  <c r="I43" i="10"/>
  <c r="I50" i="10"/>
  <c r="I51" i="10"/>
  <c r="I53" i="10"/>
  <c r="I77" i="10"/>
  <c r="I85" i="10"/>
  <c r="I89" i="10"/>
  <c r="I125" i="10"/>
  <c r="I100" i="10"/>
  <c r="I128" i="10"/>
  <c r="I131" i="10"/>
  <c r="I110" i="10"/>
  <c r="I146" i="10"/>
  <c r="I158" i="10"/>
  <c r="I225" i="10"/>
  <c r="I250" i="10"/>
  <c r="I261" i="10"/>
  <c r="I269" i="10"/>
  <c r="I292" i="10"/>
  <c r="I300" i="10"/>
  <c r="I305" i="10"/>
  <c r="I308" i="10"/>
  <c r="I311" i="10"/>
  <c r="I54" i="10"/>
  <c r="I55" i="10"/>
  <c r="I56" i="10"/>
  <c r="I57" i="10"/>
  <c r="I344" i="10"/>
  <c r="I345" i="10"/>
  <c r="I461" i="10"/>
  <c r="I472" i="10"/>
  <c r="I473" i="10"/>
  <c r="I474" i="10"/>
  <c r="I475" i="10"/>
  <c r="I476" i="10"/>
  <c r="I477" i="10"/>
  <c r="I500" i="10"/>
  <c r="I420" i="10"/>
  <c r="I391" i="10"/>
  <c r="I394" i="10"/>
  <c r="I395" i="10"/>
  <c r="I393" i="10"/>
  <c r="I404" i="10"/>
  <c r="I407" i="10"/>
  <c r="I416" i="10"/>
  <c r="G411" i="10"/>
  <c r="I411" i="10"/>
  <c r="I386" i="10"/>
  <c r="I369" i="10"/>
  <c r="I234" i="10"/>
  <c r="I28" i="10"/>
  <c r="H601" i="10"/>
  <c r="P175" i="10"/>
  <c r="I318" i="10"/>
  <c r="I458" i="10"/>
  <c r="I3" i="10"/>
  <c r="I4" i="10"/>
  <c r="I5" i="10"/>
  <c r="I6" i="10"/>
  <c r="I7" i="10"/>
  <c r="I9" i="10"/>
  <c r="I15" i="10"/>
  <c r="I16" i="10"/>
  <c r="I18" i="10"/>
  <c r="I19" i="10"/>
  <c r="I20" i="10"/>
  <c r="I21" i="10"/>
  <c r="I22" i="10"/>
  <c r="I23" i="10"/>
  <c r="I24" i="10"/>
  <c r="I25" i="10"/>
  <c r="I26" i="10"/>
  <c r="I27" i="10"/>
  <c r="I29" i="10"/>
  <c r="I30" i="10"/>
  <c r="I32" i="10"/>
  <c r="I33" i="10"/>
  <c r="I34" i="10"/>
  <c r="I35" i="10"/>
  <c r="I36" i="10"/>
  <c r="I37" i="10"/>
  <c r="I38" i="10"/>
  <c r="I39" i="10"/>
  <c r="I41" i="10"/>
  <c r="I42" i="10"/>
  <c r="I44" i="10"/>
  <c r="I45" i="10"/>
  <c r="I46" i="10"/>
  <c r="I47" i="10"/>
  <c r="I48" i="10"/>
  <c r="I49" i="10"/>
  <c r="I52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3" i="10"/>
  <c r="I74" i="10"/>
  <c r="I75" i="10"/>
  <c r="I76" i="10"/>
  <c r="I78" i="10"/>
  <c r="I79" i="10"/>
  <c r="I80" i="10"/>
  <c r="I81" i="10"/>
  <c r="I82" i="10"/>
  <c r="I83" i="10"/>
  <c r="I84" i="10"/>
  <c r="I86" i="10"/>
  <c r="I87" i="10"/>
  <c r="I88" i="10"/>
  <c r="I90" i="10"/>
  <c r="I91" i="10"/>
  <c r="I92" i="10"/>
  <c r="I93" i="10"/>
  <c r="I94" i="10"/>
  <c r="I95" i="10"/>
  <c r="I96" i="10"/>
  <c r="I97" i="10"/>
  <c r="I98" i="10"/>
  <c r="I99" i="10"/>
  <c r="I101" i="10"/>
  <c r="I102" i="10"/>
  <c r="I103" i="10"/>
  <c r="I104" i="10"/>
  <c r="I105" i="10"/>
  <c r="I106" i="10"/>
  <c r="I107" i="10"/>
  <c r="I108" i="10"/>
  <c r="I109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6" i="10"/>
  <c r="I127" i="10"/>
  <c r="I129" i="10"/>
  <c r="I130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7" i="10"/>
  <c r="I148" i="10"/>
  <c r="I149" i="10"/>
  <c r="I150" i="10"/>
  <c r="I151" i="10"/>
  <c r="I152" i="10"/>
  <c r="I153" i="10"/>
  <c r="I154" i="10"/>
  <c r="I155" i="10"/>
  <c r="I156" i="10"/>
  <c r="I157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3" i="10"/>
  <c r="I224" i="10"/>
  <c r="I227" i="10"/>
  <c r="I228" i="10"/>
  <c r="I229" i="10"/>
  <c r="I230" i="10"/>
  <c r="I231" i="10"/>
  <c r="I232" i="10"/>
  <c r="I233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1" i="10"/>
  <c r="I252" i="10"/>
  <c r="I253" i="10"/>
  <c r="I254" i="10"/>
  <c r="I255" i="10"/>
  <c r="I256" i="10"/>
  <c r="I257" i="10"/>
  <c r="I258" i="10"/>
  <c r="I259" i="10"/>
  <c r="I260" i="10"/>
  <c r="I262" i="10"/>
  <c r="I263" i="10"/>
  <c r="I264" i="10"/>
  <c r="I265" i="10"/>
  <c r="I266" i="10"/>
  <c r="I267" i="10"/>
  <c r="I268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3" i="10"/>
  <c r="I294" i="10"/>
  <c r="I295" i="10"/>
  <c r="I296" i="10"/>
  <c r="I297" i="10"/>
  <c r="I298" i="10"/>
  <c r="I299" i="10"/>
  <c r="I301" i="10"/>
  <c r="I302" i="10"/>
  <c r="I303" i="10"/>
  <c r="I304" i="10"/>
  <c r="I306" i="10"/>
  <c r="I307" i="10"/>
  <c r="I309" i="10"/>
  <c r="I310" i="10"/>
  <c r="I312" i="10"/>
  <c r="I313" i="10"/>
  <c r="I314" i="10"/>
  <c r="I315" i="10"/>
  <c r="I316" i="10"/>
  <c r="I317" i="10"/>
  <c r="I319" i="10"/>
  <c r="I320" i="10"/>
  <c r="I321" i="10"/>
  <c r="I322" i="10"/>
  <c r="I323" i="10"/>
  <c r="I324" i="10"/>
  <c r="I325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6" i="10"/>
  <c r="I347" i="10"/>
  <c r="I348" i="10"/>
  <c r="I349" i="10"/>
  <c r="G350" i="10"/>
  <c r="I350" i="10" s="1"/>
  <c r="I351" i="10"/>
  <c r="I352" i="10"/>
  <c r="I353" i="10"/>
  <c r="I354" i="10"/>
  <c r="I355" i="10"/>
  <c r="I356" i="10"/>
  <c r="I358" i="10"/>
  <c r="I359" i="10"/>
  <c r="I360" i="10"/>
  <c r="I361" i="10"/>
  <c r="I362" i="10"/>
  <c r="I363" i="10"/>
  <c r="I364" i="10"/>
  <c r="I365" i="10"/>
  <c r="I366" i="10"/>
  <c r="I367" i="10"/>
  <c r="I368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7" i="10"/>
  <c r="I388" i="10"/>
  <c r="I389" i="10"/>
  <c r="I390" i="10"/>
  <c r="I397" i="10"/>
  <c r="I398" i="10"/>
  <c r="I399" i="10"/>
  <c r="I401" i="10"/>
  <c r="I402" i="10"/>
  <c r="I403" i="10"/>
  <c r="I405" i="10"/>
  <c r="I406" i="10"/>
  <c r="I408" i="10"/>
  <c r="I409" i="10"/>
  <c r="I410" i="10"/>
  <c r="I412" i="10"/>
  <c r="I413" i="10"/>
  <c r="I414" i="10"/>
  <c r="I417" i="10"/>
  <c r="I418" i="10"/>
  <c r="I419" i="10"/>
  <c r="I421" i="10"/>
  <c r="I423" i="10"/>
  <c r="I424" i="10"/>
  <c r="I425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9" i="10"/>
  <c r="I460" i="10"/>
  <c r="I462" i="10"/>
  <c r="I471" i="10"/>
  <c r="I479" i="10"/>
  <c r="I480" i="10"/>
  <c r="I481" i="10"/>
  <c r="I482" i="10"/>
  <c r="I484" i="10"/>
  <c r="I485" i="10"/>
  <c r="I486" i="10"/>
  <c r="I487" i="10"/>
  <c r="I488" i="10"/>
  <c r="I489" i="10"/>
  <c r="I490" i="10"/>
  <c r="I491" i="10"/>
  <c r="I492" i="10"/>
  <c r="I494" i="10"/>
  <c r="I495" i="10"/>
  <c r="I496" i="10"/>
  <c r="I497" i="10"/>
  <c r="I499" i="10"/>
  <c r="I502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96" i="10"/>
  <c r="I577" i="10"/>
  <c r="I578" i="10"/>
  <c r="I579" i="10"/>
  <c r="I580" i="10"/>
  <c r="I582" i="10"/>
  <c r="I583" i="10"/>
  <c r="I584" i="10"/>
  <c r="I585" i="10"/>
  <c r="I586" i="10"/>
  <c r="I588" i="10"/>
  <c r="I589" i="10"/>
  <c r="I590" i="10"/>
  <c r="I591" i="10"/>
  <c r="I592" i="10"/>
  <c r="I593" i="10"/>
  <c r="I594" i="10"/>
  <c r="I595" i="10"/>
  <c r="I597" i="10"/>
  <c r="I598" i="10"/>
  <c r="F601" i="10"/>
  <c r="H285" i="9"/>
  <c r="H500" i="9"/>
  <c r="H343" i="9"/>
  <c r="G391" i="9"/>
  <c r="H18" i="9"/>
  <c r="H598" i="9" s="1"/>
  <c r="H395" i="9"/>
  <c r="H111" i="9"/>
  <c r="H408" i="9"/>
  <c r="G396" i="9"/>
  <c r="G291" i="9"/>
  <c r="N221" i="9"/>
  <c r="P221" i="9"/>
  <c r="G310" i="9"/>
  <c r="G309" i="9"/>
  <c r="G307" i="9"/>
  <c r="G306" i="9"/>
  <c r="G42" i="9"/>
  <c r="G410" i="9"/>
  <c r="G277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8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I395" i="9" s="1"/>
  <c r="G392" i="9"/>
  <c r="G393" i="9"/>
  <c r="G394" i="9"/>
  <c r="G395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J482" i="9" s="1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" i="9"/>
  <c r="H269" i="8"/>
  <c r="H398" i="8"/>
  <c r="H336" i="8"/>
  <c r="H337" i="8"/>
  <c r="H18" i="8"/>
  <c r="H589" i="8" s="1"/>
  <c r="H385" i="8"/>
  <c r="H59" i="8"/>
  <c r="H402" i="8"/>
  <c r="H99" i="8"/>
  <c r="O215" i="8"/>
  <c r="O216" i="8"/>
  <c r="O220" i="8"/>
  <c r="O189" i="8"/>
  <c r="H488" i="8"/>
  <c r="J468" i="8"/>
  <c r="Q169" i="8"/>
  <c r="H101" i="8"/>
  <c r="H260" i="8"/>
  <c r="G404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I388" i="8" s="1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4" i="8"/>
  <c r="G5" i="8"/>
  <c r="F353" i="7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3" i="8"/>
  <c r="I73" i="7"/>
  <c r="I265" i="7"/>
  <c r="H395" i="7"/>
  <c r="H586" i="7"/>
  <c r="G16" i="7"/>
  <c r="J314" i="7"/>
  <c r="F384" i="7"/>
  <c r="N210" i="7"/>
  <c r="N162" i="7"/>
  <c r="G485" i="7"/>
  <c r="E140" i="4"/>
  <c r="E141" i="4"/>
  <c r="D138" i="4"/>
  <c r="D139" i="4"/>
  <c r="N195" i="7"/>
  <c r="N190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J339" i="7" s="1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00" i="7"/>
  <c r="F401" i="7"/>
  <c r="F402" i="7"/>
  <c r="F403" i="7"/>
  <c r="F404" i="7"/>
  <c r="F405" i="7"/>
  <c r="F406" i="7"/>
  <c r="F396" i="7"/>
  <c r="F397" i="7"/>
  <c r="F398" i="7"/>
  <c r="F399" i="7"/>
  <c r="F393" i="7"/>
  <c r="F394" i="7"/>
  <c r="F395" i="7"/>
  <c r="F386" i="7"/>
  <c r="F387" i="7"/>
  <c r="F388" i="7"/>
  <c r="F389" i="7"/>
  <c r="F390" i="7"/>
  <c r="F391" i="7"/>
  <c r="F392" i="7"/>
  <c r="F377" i="7"/>
  <c r="F378" i="7"/>
  <c r="F379" i="7"/>
  <c r="F380" i="7"/>
  <c r="J380" i="7" s="1"/>
  <c r="F383" i="7"/>
  <c r="F315" i="7"/>
  <c r="F381" i="7"/>
  <c r="F382" i="7"/>
  <c r="F38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4" i="7"/>
  <c r="I72" i="10"/>
  <c r="I327" i="11"/>
  <c r="J326" i="11" s="1"/>
  <c r="L327" i="11" s="1"/>
  <c r="I395" i="11" s="1"/>
  <c r="J459" i="7"/>
  <c r="J470" i="7" s="1"/>
  <c r="I172" i="10"/>
  <c r="I326" i="10"/>
  <c r="I226" i="10"/>
  <c r="I221" i="10"/>
  <c r="I593" i="12"/>
  <c r="J408" i="12"/>
  <c r="G325" i="11"/>
  <c r="G373" i="11"/>
  <c r="J392" i="10"/>
  <c r="I392" i="10"/>
  <c r="G44" i="11"/>
  <c r="G90" i="11"/>
  <c r="I612" i="12"/>
  <c r="G132" i="11"/>
  <c r="G616" i="12"/>
  <c r="G337" i="11"/>
  <c r="G348" i="11"/>
  <c r="I508" i="12"/>
  <c r="I410" i="12"/>
  <c r="L387" i="10"/>
  <c r="G418" i="11"/>
  <c r="H601" i="11"/>
  <c r="I603" i="12"/>
  <c r="I159" i="12"/>
  <c r="J315" i="7"/>
  <c r="I586" i="7"/>
  <c r="G586" i="7"/>
  <c r="I487" i="12"/>
  <c r="G601" i="10"/>
  <c r="H514" i="12"/>
  <c r="I518" i="12"/>
  <c r="I339" i="12"/>
  <c r="I408" i="12"/>
  <c r="G387" i="11"/>
  <c r="I498" i="12" l="1"/>
  <c r="J486" i="12"/>
  <c r="G314" i="11"/>
  <c r="G326" i="11" s="1"/>
  <c r="G327" i="11" s="1"/>
  <c r="G600" i="11"/>
  <c r="K338" i="15"/>
  <c r="H285" i="13"/>
  <c r="H616" i="15"/>
  <c r="P105" i="16"/>
  <c r="P106" i="16" s="1"/>
  <c r="P110" i="16" s="1"/>
  <c r="P92" i="16"/>
  <c r="P95" i="16" s="1"/>
  <c r="P98" i="16" s="1"/>
  <c r="P100" i="16" s="1"/>
  <c r="M92" i="16"/>
  <c r="E27" i="16"/>
  <c r="I27" i="16"/>
  <c r="I28" i="16" s="1"/>
  <c r="K92" i="16"/>
  <c r="K83" i="16"/>
  <c r="B27" i="16"/>
  <c r="I92" i="16"/>
  <c r="J92" i="16" s="1"/>
  <c r="J47" i="16"/>
  <c r="J87" i="16"/>
  <c r="D83" i="16"/>
  <c r="H83" i="16"/>
  <c r="M27" i="16"/>
  <c r="Q27" i="16" s="1"/>
  <c r="F27" i="16"/>
  <c r="M83" i="16"/>
  <c r="Q83" i="16" s="1"/>
  <c r="I65" i="16"/>
  <c r="I83" i="16" s="1"/>
  <c r="J23" i="16"/>
  <c r="J8" i="16"/>
  <c r="B83" i="16"/>
  <c r="J79" i="16"/>
  <c r="J44" i="16"/>
  <c r="K27" i="16"/>
  <c r="K85" i="16" s="1"/>
  <c r="F83" i="16"/>
  <c r="C83" i="16"/>
  <c r="J58" i="16"/>
  <c r="C27" i="16"/>
  <c r="J16" i="16"/>
  <c r="J38" i="16"/>
  <c r="D27" i="16"/>
  <c r="H27" i="16"/>
  <c r="E83" i="16"/>
  <c r="E85" i="16" s="1"/>
  <c r="E95" i="16" s="1"/>
  <c r="L27" i="16"/>
  <c r="G83" i="16"/>
  <c r="J70" i="16"/>
  <c r="G27" i="16"/>
  <c r="J61" i="16"/>
  <c r="L83" i="16"/>
  <c r="S104" i="16" l="1"/>
  <c r="S106" i="16" s="1"/>
  <c r="S110" i="16" s="1"/>
  <c r="T104" i="16" s="1"/>
  <c r="T106" i="16" s="1"/>
  <c r="T110" i="16" s="1"/>
  <c r="J65" i="16"/>
  <c r="Q87" i="16"/>
  <c r="M85" i="16"/>
  <c r="H85" i="16"/>
  <c r="H95" i="16" s="1"/>
  <c r="C85" i="16"/>
  <c r="C95" i="16" s="1"/>
  <c r="B85" i="16"/>
  <c r="B95" i="16" s="1"/>
  <c r="D85" i="16"/>
  <c r="D95" i="16" s="1"/>
  <c r="F85" i="16"/>
  <c r="F95" i="16" s="1"/>
  <c r="M28" i="16"/>
  <c r="Q28" i="16" s="1"/>
  <c r="G85" i="16"/>
  <c r="G95" i="16" s="1"/>
  <c r="L85" i="16"/>
  <c r="I85" i="16"/>
  <c r="J83" i="16"/>
  <c r="J27" i="16"/>
  <c r="K95" i="16"/>
  <c r="Q92" i="16" l="1"/>
  <c r="M95" i="16"/>
  <c r="Q85" i="16"/>
  <c r="L95" i="16"/>
  <c r="I95" i="16"/>
  <c r="J85" i="16"/>
  <c r="Q95" i="16" l="1"/>
  <c r="I98" i="16"/>
  <c r="I100" i="16" s="1"/>
  <c r="L98" i="16"/>
  <c r="L100" i="16" s="1"/>
  <c r="D121" i="20"/>
  <c r="R90" i="19"/>
  <c r="T113" i="19" l="1"/>
  <c r="D94" i="20"/>
  <c r="Q92" i="19"/>
  <c r="T117" i="19" l="1"/>
  <c r="I120" i="21" s="1"/>
  <c r="I116" i="21"/>
  <c r="E119" i="20"/>
  <c r="V113" i="19"/>
  <c r="U113" i="19"/>
  <c r="Q95" i="19"/>
  <c r="D96" i="20"/>
  <c r="R92" i="19"/>
  <c r="E123" i="20" l="1"/>
  <c r="F119" i="20"/>
  <c r="R95" i="19"/>
  <c r="Q98" i="19"/>
  <c r="D99" i="20"/>
  <c r="Q100" i="19" l="1"/>
  <c r="D104" i="20" s="1"/>
  <c r="D102" i="20"/>
  <c r="U115" i="19"/>
  <c r="U92" i="19"/>
  <c r="U95" i="19" s="1"/>
  <c r="V92" i="19"/>
  <c r="V95" i="19" s="1"/>
  <c r="F94" i="20"/>
  <c r="V115" i="19"/>
  <c r="U98" i="19" l="1"/>
  <c r="U100" i="19" s="1"/>
  <c r="E99" i="20"/>
  <c r="F121" i="20"/>
  <c r="V117" i="19"/>
  <c r="F123" i="20" s="1"/>
  <c r="U117" i="19"/>
  <c r="F99" i="20"/>
  <c r="V98" i="19"/>
  <c r="F96" i="20"/>
  <c r="V100" i="19" l="1"/>
  <c r="F104" i="20" s="1"/>
  <c r="F102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tc={68239D03-7196-4BAC-AD23-AC2D3E0B156F}</author>
  </authors>
  <commentList>
    <comment ref="C68" authorId="0" shapeId="0" xr:uid="{68239D03-7196-4BAC-AD23-AC2D3E0B156F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indsæt nuller i de tomme felter.</t>
      </text>
    </comment>
  </commentList>
</comments>
</file>

<file path=xl/sharedStrings.xml><?xml version="1.0" encoding="utf-8"?>
<sst xmlns="http://schemas.openxmlformats.org/spreadsheetml/2006/main" count="58123" uniqueCount="2352">
  <si>
    <t>Budget for 2020-2022</t>
  </si>
  <si>
    <t>Bilag til FU-møde den 10. september 2020</t>
  </si>
  <si>
    <t>Scenarie: Landslejr i 2021</t>
  </si>
  <si>
    <t>Indtægter</t>
  </si>
  <si>
    <t>LM-B</t>
  </si>
  <si>
    <t>Regns</t>
  </si>
  <si>
    <t>Regnsk</t>
  </si>
  <si>
    <t>Gen.snit</t>
  </si>
  <si>
    <t>Justeringer</t>
  </si>
  <si>
    <t>Corona-</t>
  </si>
  <si>
    <t>Estimat</t>
  </si>
  <si>
    <t>Afvigelse</t>
  </si>
  <si>
    <t>Bemærkninger</t>
  </si>
  <si>
    <t>LG-B</t>
  </si>
  <si>
    <t>15-18</t>
  </si>
  <si>
    <t>justeringer</t>
  </si>
  <si>
    <t>til budget</t>
  </si>
  <si>
    <t>Kontingenter (incl. Mediekont)</t>
  </si>
  <si>
    <t>2019-resultatet opjusteret med kontingentstigningen fra 390-400 kr.</t>
  </si>
  <si>
    <t>Kontingentet stiger med 1 pct pr. år til 405 og 410 kr. baseret på 20.000 medlemmer.</t>
  </si>
  <si>
    <t>Kontingent i alt</t>
  </si>
  <si>
    <t>Driftstilskud fra DUF</t>
  </si>
  <si>
    <t>2019-tilskuddet med 1% fremskrivning</t>
  </si>
  <si>
    <t>Folkeoplysningsloven</t>
  </si>
  <si>
    <t>Gaver og arv</t>
  </si>
  <si>
    <t>Momskompensation</t>
  </si>
  <si>
    <t>Nedjusteret til 2019-niveau</t>
  </si>
  <si>
    <t>2022 stigning henføres bl.a. til LL21</t>
  </si>
  <si>
    <t>Coronahjælpepakke Lønkompensation</t>
  </si>
  <si>
    <t>Anslået lønkompensation</t>
  </si>
  <si>
    <t>Coronahjælpepakke Dækning af faste udgifter</t>
  </si>
  <si>
    <t>Mulig kompensation til dækning af faste omkostninger</t>
  </si>
  <si>
    <t>Tilskud i alt</t>
  </si>
  <si>
    <t>Værdireg. af aktier i 55°NORD</t>
  </si>
  <si>
    <t>Optimistisk estimat på butikkens præstation i et coronaår</t>
  </si>
  <si>
    <t>Stævner og lejre</t>
  </si>
  <si>
    <t>Anslået beløb - VM og Seniorcity er aflyst indtil videre</t>
  </si>
  <si>
    <t>Landslotteri</t>
  </si>
  <si>
    <t>Mulig ekstraordinær indtægt til landsforbundet ifm. hævet pris på lodder</t>
  </si>
  <si>
    <t>Afregning vedr. lukkede kredse</t>
  </si>
  <si>
    <t>Fra lukning af FDF Ellidshøj</t>
  </si>
  <si>
    <t>Landslejr</t>
  </si>
  <si>
    <t>Andre indtægter i alt</t>
  </si>
  <si>
    <t>Finansielle indtægter i alt</t>
  </si>
  <si>
    <t>Indtægter i alt</t>
  </si>
  <si>
    <t>Indtægter ekskl. midler fra lukkede kredse</t>
  </si>
  <si>
    <t>Udgifter</t>
  </si>
  <si>
    <t>Lønninger</t>
  </si>
  <si>
    <t>Møder, rejser og kontorudgifter</t>
  </si>
  <si>
    <t>Mulig besparelse på møder mm.</t>
  </si>
  <si>
    <t>Personaleuddannelse og -pleje</t>
  </si>
  <si>
    <t>mindre forbrug grundet bl.a. corona.</t>
  </si>
  <si>
    <t>Personaleomkostninger i alt</t>
  </si>
  <si>
    <t>Udvalgsbevillinger</t>
  </si>
  <si>
    <t>Internationalt arbejde</t>
  </si>
  <si>
    <t>Tilskud nye kredse/kredsstart</t>
  </si>
  <si>
    <t>Særlige initiativer</t>
  </si>
  <si>
    <t>Aktiviteter i alt</t>
  </si>
  <si>
    <t>Ambition og udviklingsmål</t>
  </si>
  <si>
    <t>Opjusteret med budget for kredsstartsprojekt</t>
  </si>
  <si>
    <t>Ambition og udviklingsmål i alt</t>
  </si>
  <si>
    <t>LEDEREN</t>
  </si>
  <si>
    <t>Jf. forslag i november</t>
  </si>
  <si>
    <t>Sille og Sigurd</t>
  </si>
  <si>
    <t>Flux</t>
  </si>
  <si>
    <t>Bluz</t>
  </si>
  <si>
    <t>Sociale medier</t>
  </si>
  <si>
    <t>KredsCMS</t>
  </si>
  <si>
    <t>Web og sociale medier</t>
  </si>
  <si>
    <t>Afskrivninger på hjemmeside</t>
  </si>
  <si>
    <t>Øvrig kommunikation</t>
  </si>
  <si>
    <t>Studentermedhjælper flyttet til løn</t>
  </si>
  <si>
    <t>Medier og kommunikation i alt</t>
  </si>
  <si>
    <t>Drift Rysensteen</t>
  </si>
  <si>
    <t>Rentebesparelse + mistet udlejning</t>
  </si>
  <si>
    <t>Drift Friluftscenter Sletten</t>
  </si>
  <si>
    <t>Vi bytter bare rundt på 21 og 22, hvis landslejren flyttes til 22</t>
  </si>
  <si>
    <t>Vork</t>
  </si>
  <si>
    <t>Grunde</t>
  </si>
  <si>
    <t>Afskrivninger på ejendomme</t>
  </si>
  <si>
    <t>Drift af ejendomme i alt</t>
  </si>
  <si>
    <t>Kursusvirksomhed</t>
  </si>
  <si>
    <t>Anslåede udgifter ved aflyste kurser + onlinekurser</t>
  </si>
  <si>
    <t>HB-, FU- og stabsmøder mv.</t>
  </si>
  <si>
    <t>Nedjusteret af historiske årsager + mulig besparelse ifm. corona</t>
  </si>
  <si>
    <t>Landsmøde, midtvejsdebat</t>
  </si>
  <si>
    <t>Nedjusteret i november grundet lavere forbrug tidligere</t>
  </si>
  <si>
    <t>Kurser og møder i alt</t>
  </si>
  <si>
    <t>Forsikringer</t>
  </si>
  <si>
    <t>Kontingent til andre organisationer</t>
  </si>
  <si>
    <t>Nedjusteret i november</t>
  </si>
  <si>
    <t>DUF-revision</t>
  </si>
  <si>
    <t>Tilskud til agitationsmateriale</t>
  </si>
  <si>
    <t>IT</t>
  </si>
  <si>
    <t>Afskrivninger på IT-systemer</t>
  </si>
  <si>
    <t>Service og administration i øvrigt</t>
  </si>
  <si>
    <t>Service og administration i alt</t>
  </si>
  <si>
    <t>Finansielle omkostninger</t>
  </si>
  <si>
    <t>Omkostninger i alt</t>
  </si>
  <si>
    <t>Resultat før henlæggelser</t>
  </si>
  <si>
    <t/>
  </si>
  <si>
    <t>Tilført Medlemspuljen fra Lukkede kredse</t>
  </si>
  <si>
    <t>Forbrug af henlæggelser</t>
  </si>
  <si>
    <t>Medlemspuljen</t>
  </si>
  <si>
    <t>Julsøfonden</t>
  </si>
  <si>
    <t>Henlagt netto</t>
  </si>
  <si>
    <t>Årets resultat</t>
  </si>
  <si>
    <t>Årets resultat disponeres således:</t>
  </si>
  <si>
    <t>Overført til frie reserver</t>
  </si>
  <si>
    <t>Overført til opskrivning af kapitalandele i butikken 55 Nord</t>
  </si>
  <si>
    <t>i alt</t>
  </si>
  <si>
    <t>Anvendelse af henlæggelser</t>
  </si>
  <si>
    <t>primo saldo</t>
  </si>
  <si>
    <t>Tilført i året</t>
  </si>
  <si>
    <t>Til rådighed medlemspuljen</t>
  </si>
  <si>
    <t>Anvendt på kredsstartsprojekt under ambition og udviklingsmål</t>
  </si>
  <si>
    <t>Overføres til resultat for at modsvare kredsstartsudgifter på ambition og udviklingsmål</t>
  </si>
  <si>
    <t>Anvendt medlemspuljen i alt</t>
  </si>
  <si>
    <t>Ultimo saldo Medlemspuljen</t>
  </si>
  <si>
    <t>Henlagt primo</t>
  </si>
  <si>
    <t>årets resultat</t>
  </si>
  <si>
    <t>Overført til resultat til afskrivninger på landsforbundets ejendomme</t>
  </si>
  <si>
    <t>Overføres til resultat for at modsvare afskrivninger og investeringer på ejendomme</t>
  </si>
  <si>
    <t>Udlånt til kredse ultimo</t>
  </si>
  <si>
    <t>Svært at budgettere med</t>
  </si>
  <si>
    <t>Til dispositon ultimo</t>
  </si>
  <si>
    <t>Uddannelsespuljen</t>
  </si>
  <si>
    <t>Saldo primo</t>
  </si>
  <si>
    <t>Anvendt</t>
  </si>
  <si>
    <t>Er ikke budgetteret konkret</t>
  </si>
  <si>
    <t>Saldo ultimo</t>
  </si>
  <si>
    <t>Anslåede årlige afskrivninger på eksisterende ejendomme ved omlægning fra 2020</t>
  </si>
  <si>
    <t>Ekstraordinære investeringer der skal afskrives</t>
  </si>
  <si>
    <t>Ombygning af Laden+servicebygning</t>
  </si>
  <si>
    <t>Afskrives over 35 år med en faktor 80 på scrapværdi. Årlig afskrivning fra 21:</t>
  </si>
  <si>
    <t>Nye møbler til det ny Sletten</t>
  </si>
  <si>
    <t>Afskrives over 5 år. Årlig afskrivning fra 20:</t>
  </si>
  <si>
    <t>Nyt gulv til det ny Sletten</t>
  </si>
  <si>
    <t>Afskrives over 25 år. Årlig afskrivning fra 22:</t>
  </si>
  <si>
    <t>Udskiftning af køkkenmaskiner det nye Sletten</t>
  </si>
  <si>
    <t>Afskrives over 5 år. Årlig afskrivning fra 21:</t>
  </si>
  <si>
    <t>Nyt regnskabssystem</t>
  </si>
  <si>
    <t>Regnes ind i driften med en afskrivningsgrad på 5 år. Årlig afskrivning fra 20:</t>
  </si>
  <si>
    <t>Nyt medlemssystem</t>
  </si>
  <si>
    <t>Regnes ind i driften med en afskrivningsgrad på 5 år. Årlig afskrivning fra 21:</t>
  </si>
  <si>
    <t>Ny/tilpasning hjemmeside</t>
  </si>
  <si>
    <t>Kontoplan</t>
  </si>
  <si>
    <t>Nummer</t>
  </si>
  <si>
    <t>Navn</t>
  </si>
  <si>
    <t>Type</t>
  </si>
  <si>
    <t>Kontotype</t>
  </si>
  <si>
    <t>Sammentælling</t>
  </si>
  <si>
    <t>Bevægelse</t>
  </si>
  <si>
    <t>Saldo</t>
  </si>
  <si>
    <t>100000</t>
  </si>
  <si>
    <t>INDTÆGTER</t>
  </si>
  <si>
    <t>Resultatopgørelse</t>
  </si>
  <si>
    <t>Fra-sum</t>
  </si>
  <si>
    <t>110000</t>
  </si>
  <si>
    <t>KONTINGENTER</t>
  </si>
  <si>
    <t>110010</t>
  </si>
  <si>
    <t>Kontingent kredse, landsdele</t>
  </si>
  <si>
    <t>Konto</t>
  </si>
  <si>
    <t>110020</t>
  </si>
  <si>
    <t>Mediekontingent</t>
  </si>
  <si>
    <t>110030</t>
  </si>
  <si>
    <t>Medlemmer u/landsforb.</t>
  </si>
  <si>
    <t>111199</t>
  </si>
  <si>
    <t>KONTINGENTER I ALT</t>
  </si>
  <si>
    <t>Til-sum</t>
  </si>
  <si>
    <t>110000..111199</t>
  </si>
  <si>
    <t>120000</t>
  </si>
  <si>
    <t>TILSKUD OG GAVER</t>
  </si>
  <si>
    <t>120010</t>
  </si>
  <si>
    <t>Tipstilskud DUF</t>
  </si>
  <si>
    <t>120020</t>
  </si>
  <si>
    <t>§ 44, folkeoplysningsloven</t>
  </si>
  <si>
    <t>120030</t>
  </si>
  <si>
    <t>Gaver til videresendelse</t>
  </si>
  <si>
    <t>120040</t>
  </si>
  <si>
    <t>Gaver, videresendt</t>
  </si>
  <si>
    <t>120045</t>
  </si>
  <si>
    <t>Gebyr indsamlingsnævnet</t>
  </si>
  <si>
    <t>120050</t>
  </si>
  <si>
    <t>Kompensation købsmoms</t>
  </si>
  <si>
    <t>121199</t>
  </si>
  <si>
    <t>TILSKUD OG GAVER I ALT</t>
  </si>
  <si>
    <t>120000..121199</t>
  </si>
  <si>
    <t>130000</t>
  </si>
  <si>
    <t>ANDRE INDTÆGTER</t>
  </si>
  <si>
    <t>130001</t>
  </si>
  <si>
    <t>55 NORD A/S</t>
  </si>
  <si>
    <t>130010</t>
  </si>
  <si>
    <t>Resultat 55 Nord A/S</t>
  </si>
  <si>
    <t>131199</t>
  </si>
  <si>
    <t>55 NORD A/S I ALT</t>
  </si>
  <si>
    <t>130001..131199</t>
  </si>
  <si>
    <t>140000</t>
  </si>
  <si>
    <t>STÆVNER OG LEJRE</t>
  </si>
  <si>
    <t>140010</t>
  </si>
  <si>
    <t>Deltagerbetaling</t>
  </si>
  <si>
    <t>140020</t>
  </si>
  <si>
    <t>Andre indtægter</t>
  </si>
  <si>
    <t>140030</t>
  </si>
  <si>
    <t>Kørsel medarb./deltager</t>
  </si>
  <si>
    <t>140035</t>
  </si>
  <si>
    <t>Forplejning medarb./deltager</t>
  </si>
  <si>
    <t>140040</t>
  </si>
  <si>
    <t>Husleje og etablering</t>
  </si>
  <si>
    <t>140050</t>
  </si>
  <si>
    <t>Matr. og program</t>
  </si>
  <si>
    <t>140060</t>
  </si>
  <si>
    <t>Forsik.estat.</t>
  </si>
  <si>
    <t>140070</t>
  </si>
  <si>
    <t>Administration og indbyd.</t>
  </si>
  <si>
    <t>140080</t>
  </si>
  <si>
    <t>Honorar</t>
  </si>
  <si>
    <t>140090</t>
  </si>
  <si>
    <t>Møder og planlægning</t>
  </si>
  <si>
    <t>140100</t>
  </si>
  <si>
    <t>Diverse</t>
  </si>
  <si>
    <t>141199</t>
  </si>
  <si>
    <t>STÆVNER OG LEJRE I ALT</t>
  </si>
  <si>
    <t>140000..141199</t>
  </si>
  <si>
    <t>150000</t>
  </si>
  <si>
    <t>LANDSLOTTERI</t>
  </si>
  <si>
    <t>150010</t>
  </si>
  <si>
    <t>Landslotter, salg via kredse</t>
  </si>
  <si>
    <t>150020</t>
  </si>
  <si>
    <t>Fremstillingsomkostninger</t>
  </si>
  <si>
    <t>150030</t>
  </si>
  <si>
    <t>Forsendelse</t>
  </si>
  <si>
    <t>150040</t>
  </si>
  <si>
    <t>Gevinster</t>
  </si>
  <si>
    <t>150050</t>
  </si>
  <si>
    <t>Rabatter</t>
  </si>
  <si>
    <t>150060</t>
  </si>
  <si>
    <t>Administration og revision</t>
  </si>
  <si>
    <t>150070</t>
  </si>
  <si>
    <t>Kredsens andel af overskudet</t>
  </si>
  <si>
    <t>150299</t>
  </si>
  <si>
    <t>LANDSLOTTERI I ALT</t>
  </si>
  <si>
    <t>150000..150299</t>
  </si>
  <si>
    <t>150300</t>
  </si>
  <si>
    <t>AFREGNING VEDR. LUKKEDE KREDSE</t>
  </si>
  <si>
    <t>150310</t>
  </si>
  <si>
    <t>lukkede kredse</t>
  </si>
  <si>
    <t>150399</t>
  </si>
  <si>
    <t>AFREGNING LUKKEDE KREDSE I ALT</t>
  </si>
  <si>
    <t>150300..150399</t>
  </si>
  <si>
    <t>150499</t>
  </si>
  <si>
    <t>ANDRE INDTÆGTER I ALT</t>
  </si>
  <si>
    <t>130000..150499</t>
  </si>
  <si>
    <t>160000</t>
  </si>
  <si>
    <t>NETTORENTEINDTÆGTER</t>
  </si>
  <si>
    <t>160010</t>
  </si>
  <si>
    <t>Renter af obligationer</t>
  </si>
  <si>
    <t>160020</t>
  </si>
  <si>
    <t>Renter af pantebreve</t>
  </si>
  <si>
    <t>160030</t>
  </si>
  <si>
    <t>Renter TVR-fonden</t>
  </si>
  <si>
    <t>160040</t>
  </si>
  <si>
    <t>Renter af ml. HCT-fonden</t>
  </si>
  <si>
    <t>160050</t>
  </si>
  <si>
    <t>Renter af debitorer</t>
  </si>
  <si>
    <t>160060</t>
  </si>
  <si>
    <t>Renter af bankkonti</t>
  </si>
  <si>
    <t>160070</t>
  </si>
  <si>
    <t>Renter af mellemreg. 55 Nord</t>
  </si>
  <si>
    <t>160080</t>
  </si>
  <si>
    <t>Udbytte aktier</t>
  </si>
  <si>
    <t>160130</t>
  </si>
  <si>
    <t>Renter af kassekredit</t>
  </si>
  <si>
    <t>160140</t>
  </si>
  <si>
    <t>Øvrige renteudgifter</t>
  </si>
  <si>
    <t>161199</t>
  </si>
  <si>
    <t>160000..161199</t>
  </si>
  <si>
    <t>171199</t>
  </si>
  <si>
    <t>INDTÆGTER I ALT</t>
  </si>
  <si>
    <t>100000..171199</t>
  </si>
  <si>
    <t>200000</t>
  </si>
  <si>
    <t>OMKOSTNINGER</t>
  </si>
  <si>
    <t>200010</t>
  </si>
  <si>
    <t>200030</t>
  </si>
  <si>
    <t>PERSONALEOMKOSTNINGER</t>
  </si>
  <si>
    <t>210000</t>
  </si>
  <si>
    <t>LØNNINGER STAB OG ADM.</t>
  </si>
  <si>
    <t>210010</t>
  </si>
  <si>
    <t>Lønninger lessor</t>
  </si>
  <si>
    <t>210020</t>
  </si>
  <si>
    <t>Pension teologer</t>
  </si>
  <si>
    <t>210030</t>
  </si>
  <si>
    <t>Ikke skattepligtig gage</t>
  </si>
  <si>
    <t>210050</t>
  </si>
  <si>
    <t>Lønrefusioner</t>
  </si>
  <si>
    <t>210060</t>
  </si>
  <si>
    <t>Pension lønmodtager</t>
  </si>
  <si>
    <t>210070</t>
  </si>
  <si>
    <t>Pension arbejdsgiver</t>
  </si>
  <si>
    <t>210080</t>
  </si>
  <si>
    <t>Feriepenge</t>
  </si>
  <si>
    <t>210090</t>
  </si>
  <si>
    <t>Feriepengeforpligelse</t>
  </si>
  <si>
    <t>210100</t>
  </si>
  <si>
    <t>Lønandele overført</t>
  </si>
  <si>
    <t>210110</t>
  </si>
  <si>
    <t>ATP og andre bidrag</t>
  </si>
  <si>
    <t>210120</t>
  </si>
  <si>
    <t>Multimiedieskat/fri telefon</t>
  </si>
  <si>
    <t>210130</t>
  </si>
  <si>
    <t>Bruttoløn</t>
  </si>
  <si>
    <t>211199</t>
  </si>
  <si>
    <t>LØNNINGER STAB OG ADM I ALT</t>
  </si>
  <si>
    <t>210000..211199</t>
  </si>
  <si>
    <t>220000</t>
  </si>
  <si>
    <t>KØRSEL OG KONTOROMK. STAB</t>
  </si>
  <si>
    <t>220010</t>
  </si>
  <si>
    <t>Tjenestekørsel</t>
  </si>
  <si>
    <t>220020</t>
  </si>
  <si>
    <t>Kørsel, overført</t>
  </si>
  <si>
    <t>220030</t>
  </si>
  <si>
    <t>Sekretæromk.</t>
  </si>
  <si>
    <t>220040</t>
  </si>
  <si>
    <t>Personaleomk.</t>
  </si>
  <si>
    <t>220050</t>
  </si>
  <si>
    <t>Kontorudstyr</t>
  </si>
  <si>
    <t>220060</t>
  </si>
  <si>
    <t>IT  N/V o/3000 kr.bruges ikke</t>
  </si>
  <si>
    <t>221199</t>
  </si>
  <si>
    <t>KØRSEL &amp; KONTOROMK. STAB I ALT</t>
  </si>
  <si>
    <t>220000..221199</t>
  </si>
  <si>
    <t>230000</t>
  </si>
  <si>
    <t>PERSONALEUDD. OG PLEJE</t>
  </si>
  <si>
    <t>230010</t>
  </si>
  <si>
    <t>Personaleuddannelse</t>
  </si>
  <si>
    <t>230020</t>
  </si>
  <si>
    <t>Personalepleje</t>
  </si>
  <si>
    <t>230199</t>
  </si>
  <si>
    <t>PERSONALEUDD. OG PLEJE I ALT</t>
  </si>
  <si>
    <t>230000..230199</t>
  </si>
  <si>
    <t>241199</t>
  </si>
  <si>
    <t>PERSONALEOMKOSTNINGER I ALT</t>
  </si>
  <si>
    <t>200030..241199</t>
  </si>
  <si>
    <t>310000</t>
  </si>
  <si>
    <t>AMBITION OG UDVIKLINGSMÅL</t>
  </si>
  <si>
    <t>310010</t>
  </si>
  <si>
    <t>Uddannelse</t>
  </si>
  <si>
    <t>310020</t>
  </si>
  <si>
    <t>FDFs ambition</t>
  </si>
  <si>
    <t>310030</t>
  </si>
  <si>
    <t>Ledelse af frivillige</t>
  </si>
  <si>
    <t>310040</t>
  </si>
  <si>
    <t>Legens dag</t>
  </si>
  <si>
    <t>310050</t>
  </si>
  <si>
    <t>Profil og identitet</t>
  </si>
  <si>
    <t>310060</t>
  </si>
  <si>
    <t>FDF i samarbejde</t>
  </si>
  <si>
    <t>310070</t>
  </si>
  <si>
    <t>Fællesskab og relationer</t>
  </si>
  <si>
    <t>310080</t>
  </si>
  <si>
    <t>Politiske aktiviteter</t>
  </si>
  <si>
    <t>310100</t>
  </si>
  <si>
    <t>Fortællingen</t>
  </si>
  <si>
    <t>310110</t>
  </si>
  <si>
    <t>Børn og unge i naturen</t>
  </si>
  <si>
    <t>310130</t>
  </si>
  <si>
    <t>Lederlse</t>
  </si>
  <si>
    <t>311199</t>
  </si>
  <si>
    <t>AMBITION OG UDVIKLINGSMÅL IALT</t>
  </si>
  <si>
    <t>310000..311199</t>
  </si>
  <si>
    <t>320000</t>
  </si>
  <si>
    <t>AKTIVITETER</t>
  </si>
  <si>
    <t>320001</t>
  </si>
  <si>
    <t>UDVALG</t>
  </si>
  <si>
    <t>320010</t>
  </si>
  <si>
    <t>Udvalg</t>
  </si>
  <si>
    <t>320030</t>
  </si>
  <si>
    <t>Globus udvalg</t>
  </si>
  <si>
    <t>321199</t>
  </si>
  <si>
    <t>UDVALGSBEVILLINGER I ALT</t>
  </si>
  <si>
    <t>320001..321199</t>
  </si>
  <si>
    <t>340000</t>
  </si>
  <si>
    <t>INTERNATIONALT ARBEJDE</t>
  </si>
  <si>
    <t>340010</t>
  </si>
  <si>
    <t>Internationalt udvalg</t>
  </si>
  <si>
    <t>340020</t>
  </si>
  <si>
    <t>Global Fellowship</t>
  </si>
  <si>
    <t>340030</t>
  </si>
  <si>
    <t>DUF tilskud</t>
  </si>
  <si>
    <t>340040</t>
  </si>
  <si>
    <t>EF møder og kontingent, FDF</t>
  </si>
  <si>
    <t>340050</t>
  </si>
  <si>
    <t>Bilaterale projekter</t>
  </si>
  <si>
    <t>340060</t>
  </si>
  <si>
    <t>Cross Culture</t>
  </si>
  <si>
    <t>340070</t>
  </si>
  <si>
    <t>Euro camp.</t>
  </si>
  <si>
    <t>340080</t>
  </si>
  <si>
    <t>Fim-cap</t>
  </si>
  <si>
    <t>340090</t>
  </si>
  <si>
    <t>Andre aktiviteter og rejser</t>
  </si>
  <si>
    <t>340110</t>
  </si>
  <si>
    <t>Easter Course, FDF</t>
  </si>
  <si>
    <t>340120</t>
  </si>
  <si>
    <t xml:space="preserve">EuroConference </t>
  </si>
  <si>
    <t>340130</t>
  </si>
  <si>
    <t>Jagten</t>
  </si>
  <si>
    <t>340140</t>
  </si>
  <si>
    <t>341199</t>
  </si>
  <si>
    <t>INTERNATIONALT ARBEJDE I ALT</t>
  </si>
  <si>
    <t>340000..341199</t>
  </si>
  <si>
    <t>350000</t>
  </si>
  <si>
    <t>TILSKUD TIL NYE KREDSE</t>
  </si>
  <si>
    <t>350010</t>
  </si>
  <si>
    <t>Udbetalt tilskud</t>
  </si>
  <si>
    <t>350099</t>
  </si>
  <si>
    <t>TILSKUD TIL NYE KREDSE I ALT</t>
  </si>
  <si>
    <t>350000..350099</t>
  </si>
  <si>
    <t>360000</t>
  </si>
  <si>
    <t>SÆRLIGE INITIATIVER</t>
  </si>
  <si>
    <t>360010</t>
  </si>
  <si>
    <t>360099</t>
  </si>
  <si>
    <t>SÆRLIGE INITIATIVER I ALT</t>
  </si>
  <si>
    <t>360000..360099</t>
  </si>
  <si>
    <t>379999</t>
  </si>
  <si>
    <t>AKTIVITETER I ALT</t>
  </si>
  <si>
    <t>320000..379999</t>
  </si>
  <si>
    <t>390000</t>
  </si>
  <si>
    <t>MEDIERNE</t>
  </si>
  <si>
    <t>Rediger - Matrix for finans - saldi pr. dimension</t>
  </si>
  <si>
    <t>390010</t>
  </si>
  <si>
    <t>Div. indtægter</t>
  </si>
  <si>
    <t>Kode</t>
  </si>
  <si>
    <t>I alt</t>
  </si>
  <si>
    <t>BLUZ</t>
  </si>
  <si>
    <t>FLUX</t>
  </si>
  <si>
    <t>KREDS CMS</t>
  </si>
  <si>
    <t>SILLE OG SIGURD</t>
  </si>
  <si>
    <t>WEB</t>
  </si>
  <si>
    <t>390020</t>
  </si>
  <si>
    <t>Tilskud</t>
  </si>
  <si>
    <t>390030</t>
  </si>
  <si>
    <t>Salg af div.</t>
  </si>
  <si>
    <t>390040</t>
  </si>
  <si>
    <t>Konsulent</t>
  </si>
  <si>
    <t>391010</t>
  </si>
  <si>
    <t>KODA</t>
  </si>
  <si>
    <t>391020</t>
  </si>
  <si>
    <t xml:space="preserve">Fremstillings-/driftsomk. </t>
  </si>
  <si>
    <t>391030</t>
  </si>
  <si>
    <t>Portalen udvikling CMS</t>
  </si>
  <si>
    <t>391040</t>
  </si>
  <si>
    <t xml:space="preserve">Forsendelse </t>
  </si>
  <si>
    <t>391050</t>
  </si>
  <si>
    <t>Kontorhold m/moms bruges ikke</t>
  </si>
  <si>
    <t>391060</t>
  </si>
  <si>
    <t>Kontorhold u/moms</t>
  </si>
  <si>
    <t>391070</t>
  </si>
  <si>
    <t>Redaktionsomk.</t>
  </si>
  <si>
    <t>391080</t>
  </si>
  <si>
    <t>Diverse u/moms</t>
  </si>
  <si>
    <t>391199</t>
  </si>
  <si>
    <t>MEDIERNE I ALT</t>
  </si>
  <si>
    <t>390000..391199</t>
  </si>
  <si>
    <t>400000</t>
  </si>
  <si>
    <t>FDFs centre</t>
  </si>
  <si>
    <t>400001</t>
  </si>
  <si>
    <t>FDFs Centre</t>
  </si>
  <si>
    <t>440000</t>
  </si>
  <si>
    <t>FDFs CENTRE</t>
  </si>
  <si>
    <t>440100</t>
  </si>
  <si>
    <t>440110</t>
  </si>
  <si>
    <t>lejeindtægter, eksterne</t>
  </si>
  <si>
    <t>440120</t>
  </si>
  <si>
    <t>lejeindtægter, interne</t>
  </si>
  <si>
    <t>RYSENSTEEN</t>
  </si>
  <si>
    <t>SLETTEN</t>
  </si>
  <si>
    <t>VORK</t>
  </si>
  <si>
    <t>440130</t>
  </si>
  <si>
    <t>Kursusomkostninger</t>
  </si>
  <si>
    <t>440140</t>
  </si>
  <si>
    <t>Diverse indtægter</t>
  </si>
  <si>
    <t>440199</t>
  </si>
  <si>
    <t>440100..440199</t>
  </si>
  <si>
    <t>441000</t>
  </si>
  <si>
    <t>RENTER, FORBRUG OG SKATTER</t>
  </si>
  <si>
    <t>441010</t>
  </si>
  <si>
    <t>Prioritetsrenter</t>
  </si>
  <si>
    <t>441020</t>
  </si>
  <si>
    <t>Ejendomsskatter</t>
  </si>
  <si>
    <t>441030</t>
  </si>
  <si>
    <t>Vandafgift/spildevand</t>
  </si>
  <si>
    <t>441040</t>
  </si>
  <si>
    <t>Vand</t>
  </si>
  <si>
    <t>441050</t>
  </si>
  <si>
    <t>Renovation</t>
  </si>
  <si>
    <t>441060</t>
  </si>
  <si>
    <t>Energiforbrug</t>
  </si>
  <si>
    <t>441070</t>
  </si>
  <si>
    <t>Salg af vand</t>
  </si>
  <si>
    <t>441080</t>
  </si>
  <si>
    <t>Vandværk, vedligeh. nyanskaf</t>
  </si>
  <si>
    <t>441199</t>
  </si>
  <si>
    <t>RENTER FORBRUG OG SKATTER IALT</t>
  </si>
  <si>
    <t>441000..441199</t>
  </si>
  <si>
    <t>441200</t>
  </si>
  <si>
    <t>441210</t>
  </si>
  <si>
    <t>Tilsynslønninger, lessor</t>
  </si>
  <si>
    <t>441220</t>
  </si>
  <si>
    <t>441230</t>
  </si>
  <si>
    <t>441240</t>
  </si>
  <si>
    <t>Pensionsbidrag, lønmodtager</t>
  </si>
  <si>
    <t>441250</t>
  </si>
  <si>
    <t>Pensionsbidrag, arbejdsgiver</t>
  </si>
  <si>
    <t>441260</t>
  </si>
  <si>
    <t>Feriepengeforpligtelse</t>
  </si>
  <si>
    <t>441280</t>
  </si>
  <si>
    <t>441285</t>
  </si>
  <si>
    <t>441290</t>
  </si>
  <si>
    <t>Medarb.pleje og beklædning</t>
  </si>
  <si>
    <t>441300</t>
  </si>
  <si>
    <t>Kørsel overført</t>
  </si>
  <si>
    <t>441310</t>
  </si>
  <si>
    <t>441320</t>
  </si>
  <si>
    <t>Fri telefon</t>
  </si>
  <si>
    <t>441390</t>
  </si>
  <si>
    <t>Løn overført</t>
  </si>
  <si>
    <t>441399</t>
  </si>
  <si>
    <t>441200..441399</t>
  </si>
  <si>
    <t>441400</t>
  </si>
  <si>
    <t>ADMINISTRATION M.V.</t>
  </si>
  <si>
    <t>441410</t>
  </si>
  <si>
    <t>Administrationsomk. u/moms</t>
  </si>
  <si>
    <t>441415</t>
  </si>
  <si>
    <t>Administration m.v. m/moms</t>
  </si>
  <si>
    <t>441420</t>
  </si>
  <si>
    <t>Kopimaskine</t>
  </si>
  <si>
    <t>441430</t>
  </si>
  <si>
    <t>Telefon</t>
  </si>
  <si>
    <t>441440</t>
  </si>
  <si>
    <t>Forsikringer og alarmer</t>
  </si>
  <si>
    <t>441450</t>
  </si>
  <si>
    <t>Omkostninger udlejning</t>
  </si>
  <si>
    <t>441460</t>
  </si>
  <si>
    <t>Diverse m/moms</t>
  </si>
  <si>
    <t>441470</t>
  </si>
  <si>
    <t>Markedsføring</t>
  </si>
  <si>
    <t>441499</t>
  </si>
  <si>
    <t>ADMINISTRATIONSKOM. M.V. I ALT</t>
  </si>
  <si>
    <t>441400..441499</t>
  </si>
  <si>
    <t>441500</t>
  </si>
  <si>
    <t>VEDLIGEHOLD RENGØRING AUTODR.</t>
  </si>
  <si>
    <t>441510</t>
  </si>
  <si>
    <t>Rengøringsfirma</t>
  </si>
  <si>
    <t>441520</t>
  </si>
  <si>
    <t>Rengøringsartikler</t>
  </si>
  <si>
    <t>441530</t>
  </si>
  <si>
    <t>Vedligeholdelse bygnnger</t>
  </si>
  <si>
    <t>441540</t>
  </si>
  <si>
    <t>Vedligeholdelse, inventar</t>
  </si>
  <si>
    <t>441550</t>
  </si>
  <si>
    <t>Nyanskaffelser, inventar</t>
  </si>
  <si>
    <t>441560</t>
  </si>
  <si>
    <t>Autodrift</t>
  </si>
  <si>
    <t>441570</t>
  </si>
  <si>
    <t>Afskrivninger, biler</t>
  </si>
  <si>
    <t>441599</t>
  </si>
  <si>
    <t>VEDLIGEH.RENGØRING AUTO I ALT</t>
  </si>
  <si>
    <t>441500..441599</t>
  </si>
  <si>
    <t>441600</t>
  </si>
  <si>
    <t>DIVERSE</t>
  </si>
  <si>
    <t>441610</t>
  </si>
  <si>
    <t>Frivilligt arbejde</t>
  </si>
  <si>
    <t>441620</t>
  </si>
  <si>
    <t>Leje af lokaler</t>
  </si>
  <si>
    <t>441699</t>
  </si>
  <si>
    <t>DIVERSE I ALT</t>
  </si>
  <si>
    <t>441600..441699</t>
  </si>
  <si>
    <t>441700</t>
  </si>
  <si>
    <t>GEÅ OG AKTIVITETER</t>
  </si>
  <si>
    <t>441710</t>
  </si>
  <si>
    <t>Giv et år medarbejdere div.</t>
  </si>
  <si>
    <t>441720</t>
  </si>
  <si>
    <t>Giv et år medarbejdere løn</t>
  </si>
  <si>
    <t>441730</t>
  </si>
  <si>
    <t>Giv et år lønrefusion</t>
  </si>
  <si>
    <t>441740</t>
  </si>
  <si>
    <t>Friluftscenter</t>
  </si>
  <si>
    <t>441750</t>
  </si>
  <si>
    <t>Historisk samling</t>
  </si>
  <si>
    <t>441760</t>
  </si>
  <si>
    <t>Cafe Under, rysensteen</t>
  </si>
  <si>
    <t>441770</t>
  </si>
  <si>
    <t>Aktiviteter Rys.</t>
  </si>
  <si>
    <t>441799</t>
  </si>
  <si>
    <t>GEÅ OG AKTIVITETER I ALT</t>
  </si>
  <si>
    <t>441700..441799</t>
  </si>
  <si>
    <t>441899</t>
  </si>
  <si>
    <t>Sum</t>
  </si>
  <si>
    <t>442000</t>
  </si>
  <si>
    <t>SLETTEN SKOVBRUG</t>
  </si>
  <si>
    <t>442010</t>
  </si>
  <si>
    <t>Indtægter m/moms</t>
  </si>
  <si>
    <t>442020</t>
  </si>
  <si>
    <t>Udgifter m/moms</t>
  </si>
  <si>
    <t>442030</t>
  </si>
  <si>
    <t>Udgifter u/moms</t>
  </si>
  <si>
    <t>442040</t>
  </si>
  <si>
    <t>Traktordrift m/moms</t>
  </si>
  <si>
    <t>442050</t>
  </si>
  <si>
    <t>Traktordrift u/moms</t>
  </si>
  <si>
    <t>442060</t>
  </si>
  <si>
    <t>Forsikringer u/moms</t>
  </si>
  <si>
    <t>442070</t>
  </si>
  <si>
    <t>Hedeselskabet, udgifter u/moms</t>
  </si>
  <si>
    <t>442080</t>
  </si>
  <si>
    <t>Hedeselskabet, indtægter u/,</t>
  </si>
  <si>
    <t>442099</t>
  </si>
  <si>
    <t>SLETTEN SKOVBRUG I ALT</t>
  </si>
  <si>
    <t>442000..442099</t>
  </si>
  <si>
    <t>443899</t>
  </si>
  <si>
    <t>FDF CENTRE I ALT</t>
  </si>
  <si>
    <t>440000..443899</t>
  </si>
  <si>
    <t>443999</t>
  </si>
  <si>
    <t>CENTERDRIFT I ALT</t>
  </si>
  <si>
    <t>400001..443999</t>
  </si>
  <si>
    <t>444000</t>
  </si>
  <si>
    <t>DIVERSE GRUNDE</t>
  </si>
  <si>
    <t>444010</t>
  </si>
  <si>
    <t>Diverse Grunde</t>
  </si>
  <si>
    <t>444099</t>
  </si>
  <si>
    <t>DIVERSE GRUNDE I ALT</t>
  </si>
  <si>
    <t>444000..444099</t>
  </si>
  <si>
    <t>444199</t>
  </si>
  <si>
    <t>DRIFT AF EJENDOMME,GRUNDE IALT</t>
  </si>
  <si>
    <t>400000..444199</t>
  </si>
  <si>
    <t>500000</t>
  </si>
  <si>
    <t>KURSER OG MØDER</t>
  </si>
  <si>
    <t>510000</t>
  </si>
  <si>
    <t>KURSUSVIRKSOMHED</t>
  </si>
  <si>
    <t>510010</t>
  </si>
  <si>
    <t>Deltagerafgift</t>
  </si>
  <si>
    <t>510020</t>
  </si>
  <si>
    <t>Kiosk TUT</t>
  </si>
  <si>
    <t>510030</t>
  </si>
  <si>
    <t>Missionsprojekt</t>
  </si>
  <si>
    <t>510040</t>
  </si>
  <si>
    <t>510100</t>
  </si>
  <si>
    <t>Honorarer</t>
  </si>
  <si>
    <t>510110</t>
  </si>
  <si>
    <t>Rejser for instruktører</t>
  </si>
  <si>
    <t>510120</t>
  </si>
  <si>
    <t>Materialer til kurser</t>
  </si>
  <si>
    <t>510130</t>
  </si>
  <si>
    <t>Udflugter</t>
  </si>
  <si>
    <t>510140</t>
  </si>
  <si>
    <t>Indbydelse og deltagerbrev</t>
  </si>
  <si>
    <t>510150</t>
  </si>
  <si>
    <t>Porto, telefon og kopier</t>
  </si>
  <si>
    <t>510160</t>
  </si>
  <si>
    <t>Lokaleleje</t>
  </si>
  <si>
    <t>510170</t>
  </si>
  <si>
    <t>Erstatninger, ødelagte ting</t>
  </si>
  <si>
    <t>510180</t>
  </si>
  <si>
    <t>Forplejning</t>
  </si>
  <si>
    <t>510190</t>
  </si>
  <si>
    <t>Planlægning, kørsel og forpl.</t>
  </si>
  <si>
    <t>510200</t>
  </si>
  <si>
    <t>511010</t>
  </si>
  <si>
    <t>Rejseudgifter, kurser</t>
  </si>
  <si>
    <t>511020</t>
  </si>
  <si>
    <t>Indbetalt til rejseudligning</t>
  </si>
  <si>
    <t>511199</t>
  </si>
  <si>
    <t>KURSUSVIKRSOMHED I ALT</t>
  </si>
  <si>
    <t>510000..511199</t>
  </si>
  <si>
    <t>520000</t>
  </si>
  <si>
    <t>UDVALGSMØDER</t>
  </si>
  <si>
    <t>520010</t>
  </si>
  <si>
    <t>Udvalgsmøder, forpl.</t>
  </si>
  <si>
    <t>520020</t>
  </si>
  <si>
    <t>Udvalgsmøder, kørsel</t>
  </si>
  <si>
    <t>520099</t>
  </si>
  <si>
    <t>UDVALGSMØDER I ALT</t>
  </si>
  <si>
    <t>520000..520099</t>
  </si>
  <si>
    <t>530000</t>
  </si>
  <si>
    <t>HB, FU- OG STABSMØDER</t>
  </si>
  <si>
    <t>530010</t>
  </si>
  <si>
    <t>HB, FU- og Stabsmøder</t>
  </si>
  <si>
    <t>530020</t>
  </si>
  <si>
    <t>HB, FU-møder, forpl.</t>
  </si>
  <si>
    <t>530030</t>
  </si>
  <si>
    <t>HB, diverse</t>
  </si>
  <si>
    <t>530040</t>
  </si>
  <si>
    <t>HB, gaver og repræsentation</t>
  </si>
  <si>
    <t>530060</t>
  </si>
  <si>
    <t>HB, nye publikationer</t>
  </si>
  <si>
    <t>530099</t>
  </si>
  <si>
    <t>HB, FU- OG STABSMØDER I ALT</t>
  </si>
  <si>
    <t>530000..530099</t>
  </si>
  <si>
    <t>540000</t>
  </si>
  <si>
    <t>LANDSMØDE</t>
  </si>
  <si>
    <t>540010</t>
  </si>
  <si>
    <t>Deltagerafg.</t>
  </si>
  <si>
    <t>540020</t>
  </si>
  <si>
    <t>Rejseudligning</t>
  </si>
  <si>
    <t>540030</t>
  </si>
  <si>
    <t>540040</t>
  </si>
  <si>
    <t>Overnatning</t>
  </si>
  <si>
    <t>540050</t>
  </si>
  <si>
    <t>Transport</t>
  </si>
  <si>
    <t>540060</t>
  </si>
  <si>
    <t>Administration og div.</t>
  </si>
  <si>
    <t>540199</t>
  </si>
  <si>
    <t>LANDSMØDE I ALT</t>
  </si>
  <si>
    <t>540000..540199</t>
  </si>
  <si>
    <t>541199</t>
  </si>
  <si>
    <t>KURSUS OG MØDER I ALT</t>
  </si>
  <si>
    <t>500000..541199</t>
  </si>
  <si>
    <t>600000</t>
  </si>
  <si>
    <t>LEDELSE OG ADMINISTRATION</t>
  </si>
  <si>
    <t>610000</t>
  </si>
  <si>
    <t>ADMINISTRATIONSOMKOSTNINGER</t>
  </si>
  <si>
    <t>610010</t>
  </si>
  <si>
    <t>Diverse indt.og blå info</t>
  </si>
  <si>
    <t>610015</t>
  </si>
  <si>
    <t>Kreds CMS</t>
  </si>
  <si>
    <t>610020</t>
  </si>
  <si>
    <t>Faktureret løn</t>
  </si>
  <si>
    <t>610030</t>
  </si>
  <si>
    <t>Husleje</t>
  </si>
  <si>
    <t>610100</t>
  </si>
  <si>
    <t>Telefon og internet</t>
  </si>
  <si>
    <t>610110</t>
  </si>
  <si>
    <t>IT drift</t>
  </si>
  <si>
    <t>610120</t>
  </si>
  <si>
    <t>IT udvikling</t>
  </si>
  <si>
    <t>610130</t>
  </si>
  <si>
    <t>Porto og fragt</t>
  </si>
  <si>
    <t>610140</t>
  </si>
  <si>
    <t>Papir</t>
  </si>
  <si>
    <t>610150</t>
  </si>
  <si>
    <t>Kontorartikler og tryksager</t>
  </si>
  <si>
    <t>610160</t>
  </si>
  <si>
    <t>Inventar N/V</t>
  </si>
  <si>
    <t>610170</t>
  </si>
  <si>
    <t>610180</t>
  </si>
  <si>
    <t>Leje af palleplads 55 Nord</t>
  </si>
  <si>
    <t>610190</t>
  </si>
  <si>
    <t>Revision</t>
  </si>
  <si>
    <t>610195</t>
  </si>
  <si>
    <t>Advokat/konsulentbistand</t>
  </si>
  <si>
    <t>610200</t>
  </si>
  <si>
    <t>Abonnement, blade og bøger</t>
  </si>
  <si>
    <t>610220</t>
  </si>
  <si>
    <t>610230</t>
  </si>
  <si>
    <t>Kassedifferencer</t>
  </si>
  <si>
    <t>610240</t>
  </si>
  <si>
    <t>Administration landslotteri</t>
  </si>
  <si>
    <t>610299</t>
  </si>
  <si>
    <t>ADMINISTRATIONSOMK. I ALT</t>
  </si>
  <si>
    <t>610000..610299</t>
  </si>
  <si>
    <t>620000</t>
  </si>
  <si>
    <t>FORSIKRINGER</t>
  </si>
  <si>
    <t>620010</t>
  </si>
  <si>
    <t>Ansvarsforsikring</t>
  </si>
  <si>
    <t>620020</t>
  </si>
  <si>
    <t>Kollektiv ulykkesforsikring</t>
  </si>
  <si>
    <t>620030</t>
  </si>
  <si>
    <t>Falck-abonnement</t>
  </si>
  <si>
    <t>620040</t>
  </si>
  <si>
    <t>Rejseforsikring</t>
  </si>
  <si>
    <t>620050</t>
  </si>
  <si>
    <t>Forsikringer for kredse</t>
  </si>
  <si>
    <t>620060</t>
  </si>
  <si>
    <t>Diverse forsikringer</t>
  </si>
  <si>
    <t>620199</t>
  </si>
  <si>
    <t>FORSIKRINGER I ALT</t>
  </si>
  <si>
    <t>620000..620199</t>
  </si>
  <si>
    <t>630000</t>
  </si>
  <si>
    <t>KONTINGENTER ANDRE ORG.</t>
  </si>
  <si>
    <t>630010</t>
  </si>
  <si>
    <t>Kontingenter</t>
  </si>
  <si>
    <t>630020</t>
  </si>
  <si>
    <t>630030</t>
  </si>
  <si>
    <t>Andre omk. andre org.</t>
  </si>
  <si>
    <t>630199</t>
  </si>
  <si>
    <t>KONTINGENTER ANDRE ORG. I ALT</t>
  </si>
  <si>
    <t>630000..630199</t>
  </si>
  <si>
    <t>640000</t>
  </si>
  <si>
    <t>IT og teknologi</t>
  </si>
  <si>
    <t>640100</t>
  </si>
  <si>
    <t>640110</t>
  </si>
  <si>
    <t>Telefoni</t>
  </si>
  <si>
    <t>640120</t>
  </si>
  <si>
    <t>Intenet og linjer</t>
  </si>
  <si>
    <t>640130</t>
  </si>
  <si>
    <t>Hosting</t>
  </si>
  <si>
    <t>640140</t>
  </si>
  <si>
    <t>Hardware</t>
  </si>
  <si>
    <t>640150</t>
  </si>
  <si>
    <t>Hardware småanskaffelser</t>
  </si>
  <si>
    <t>640160</t>
  </si>
  <si>
    <t>Software og licenser</t>
  </si>
  <si>
    <t>640170</t>
  </si>
  <si>
    <t>Systemer og support</t>
  </si>
  <si>
    <t>640199</t>
  </si>
  <si>
    <t>IT drift i alt</t>
  </si>
  <si>
    <t>640100..640199</t>
  </si>
  <si>
    <t>640200</t>
  </si>
  <si>
    <t>640210</t>
  </si>
  <si>
    <t>640299</t>
  </si>
  <si>
    <t>IT udvikling i alt</t>
  </si>
  <si>
    <t>640200..640299</t>
  </si>
  <si>
    <t>640999</t>
  </si>
  <si>
    <t>IT og teknologi i alt</t>
  </si>
  <si>
    <t>640000..640999</t>
  </si>
  <si>
    <t>650000</t>
  </si>
  <si>
    <t>DUF-REVISION MEDLEMSTAL</t>
  </si>
  <si>
    <t>650010</t>
  </si>
  <si>
    <t>Revision DUF</t>
  </si>
  <si>
    <t>650099</t>
  </si>
  <si>
    <t>DUF-REVISION MEDLEMSTAL I ALT</t>
  </si>
  <si>
    <t>650000..650099</t>
  </si>
  <si>
    <t>650100</t>
  </si>
  <si>
    <t>TILSKUD, AGITATIONSMATERIALE</t>
  </si>
  <si>
    <t>650110</t>
  </si>
  <si>
    <t>Tilskud agitationsmateriale</t>
  </si>
  <si>
    <t>650199</t>
  </si>
  <si>
    <t>TILSKUD, AGITATIONSMATR. I ALT</t>
  </si>
  <si>
    <t>650100..650199</t>
  </si>
  <si>
    <t>651199</t>
  </si>
  <si>
    <t>LEDELSE OG ADM. I ALT</t>
  </si>
  <si>
    <t>600000..651199</t>
  </si>
  <si>
    <t>660000</t>
  </si>
  <si>
    <t>660010</t>
  </si>
  <si>
    <t>Renter af kreditorgæld</t>
  </si>
  <si>
    <t>660020</t>
  </si>
  <si>
    <t>bankgebyrer m.v.</t>
  </si>
  <si>
    <t>661198</t>
  </si>
  <si>
    <t>Finansielle omkostninger i alt</t>
  </si>
  <si>
    <t>660000..661198</t>
  </si>
  <si>
    <t>661199</t>
  </si>
  <si>
    <t>OMKOSTERNING I ALT</t>
  </si>
  <si>
    <t>200010..661199</t>
  </si>
  <si>
    <t>670100</t>
  </si>
  <si>
    <t>INSTILLEDE KREDSE</t>
  </si>
  <si>
    <t>670110</t>
  </si>
  <si>
    <t>Indstillede kredse</t>
  </si>
  <si>
    <t>670120</t>
  </si>
  <si>
    <t>Tab på indstillede kredse</t>
  </si>
  <si>
    <t>670199</t>
  </si>
  <si>
    <t>INDSTILLEDE KREDSE I ALT</t>
  </si>
  <si>
    <t>670100..670199</t>
  </si>
  <si>
    <t>670200</t>
  </si>
  <si>
    <t>HENLÆGGELSER</t>
  </si>
  <si>
    <t>670210</t>
  </si>
  <si>
    <t>Henlæggelser kursuscenterfond</t>
  </si>
  <si>
    <t>670220</t>
  </si>
  <si>
    <t>Henlæggelser Legestandere</t>
  </si>
  <si>
    <t>670230</t>
  </si>
  <si>
    <t>Diverse henlæggelser</t>
  </si>
  <si>
    <t>670299</t>
  </si>
  <si>
    <t>HENLÆGGELSER I ALT</t>
  </si>
  <si>
    <t>670000..670298</t>
  </si>
  <si>
    <t>671099</t>
  </si>
  <si>
    <t>OMOSTNINGER I ALT</t>
  </si>
  <si>
    <t>200000..671099</t>
  </si>
  <si>
    <t>691199</t>
  </si>
  <si>
    <t>ÅRETS RESULTAT</t>
  </si>
  <si>
    <t>100000..691199</t>
  </si>
  <si>
    <t>700000</t>
  </si>
  <si>
    <t>AKTIVER</t>
  </si>
  <si>
    <t>Balance</t>
  </si>
  <si>
    <t>700001</t>
  </si>
  <si>
    <t>ANLÆGSAKTIVER</t>
  </si>
  <si>
    <t>700003</t>
  </si>
  <si>
    <t>EJENDOMSVÆRDIER</t>
  </si>
  <si>
    <t>700010</t>
  </si>
  <si>
    <t>Rysensteen, ejd. værdi</t>
  </si>
  <si>
    <t>700020</t>
  </si>
  <si>
    <t>Sletten, ejd. værdi</t>
  </si>
  <si>
    <t>700030</t>
  </si>
  <si>
    <t>Vork, ejd. værdi</t>
  </si>
  <si>
    <t>700040</t>
  </si>
  <si>
    <t>Grund, Söderåsen, ejd. værdi</t>
  </si>
  <si>
    <t>700050</t>
  </si>
  <si>
    <t>Grund, Bregnerød, ejd. værdi</t>
  </si>
  <si>
    <t>700060</t>
  </si>
  <si>
    <t>Grund, Ganløse, ejd. værdi</t>
  </si>
  <si>
    <t>700199</t>
  </si>
  <si>
    <t>EJENDOMSVÆRDIER I ALT</t>
  </si>
  <si>
    <t>700003..700199</t>
  </si>
  <si>
    <t>710000</t>
  </si>
  <si>
    <t>MATERIELLE ANL.AKTIVER</t>
  </si>
  <si>
    <t>710010</t>
  </si>
  <si>
    <t>Biler på Sletten</t>
  </si>
  <si>
    <t>710099</t>
  </si>
  <si>
    <t>MATERIELLE ANL.AKTIVER I ALT</t>
  </si>
  <si>
    <t>710000..710099</t>
  </si>
  <si>
    <t>720000</t>
  </si>
  <si>
    <t>FINANCIELLE ANL.AKTIVER</t>
  </si>
  <si>
    <t>720010</t>
  </si>
  <si>
    <t>Sikkerhedsdepot 3009703373</t>
  </si>
  <si>
    <t>720020</t>
  </si>
  <si>
    <t>Særlige pantebreve/gældsbreve</t>
  </si>
  <si>
    <t>720030</t>
  </si>
  <si>
    <t>Aktier, Kristelig Dagblad</t>
  </si>
  <si>
    <t>720040</t>
  </si>
  <si>
    <t>Aktier, 55 Nord</t>
  </si>
  <si>
    <t>720050</t>
  </si>
  <si>
    <t>55 Nord komplementar anpart</t>
  </si>
  <si>
    <t>720060</t>
  </si>
  <si>
    <t>Gældsbrev 55 Nord</t>
  </si>
  <si>
    <t>720198</t>
  </si>
  <si>
    <t>FINANSIELLE ANL.AKTIVER I ALT</t>
  </si>
  <si>
    <t>720000..720198</t>
  </si>
  <si>
    <t>720199</t>
  </si>
  <si>
    <t>ANLÆGSAKTIVER I ALT</t>
  </si>
  <si>
    <t>700001..720199</t>
  </si>
  <si>
    <t>730000</t>
  </si>
  <si>
    <t>OMSÆTNINGSAKTIVER</t>
  </si>
  <si>
    <t>740000</t>
  </si>
  <si>
    <t>TILGODEHAVENDER</t>
  </si>
  <si>
    <t>740010</t>
  </si>
  <si>
    <t>Øvrige tilgodehavender</t>
  </si>
  <si>
    <t>740020</t>
  </si>
  <si>
    <t>Obligationsrenter, periode</t>
  </si>
  <si>
    <t>740030</t>
  </si>
  <si>
    <t>FDF Farstrup</t>
  </si>
  <si>
    <t>740040</t>
  </si>
  <si>
    <t>Undervisningsministeriet §44</t>
  </si>
  <si>
    <t>740050</t>
  </si>
  <si>
    <t>Forudbetalte omkostninger</t>
  </si>
  <si>
    <t>740070</t>
  </si>
  <si>
    <t>Depositum frankeringsmaskine</t>
  </si>
  <si>
    <t>740100</t>
  </si>
  <si>
    <t>Renter 55 Nord</t>
  </si>
  <si>
    <t>740199</t>
  </si>
  <si>
    <t>TILGODEHAVENDER I ALT</t>
  </si>
  <si>
    <t>740000..740199</t>
  </si>
  <si>
    <t>750000</t>
  </si>
  <si>
    <t>RÅDIGHEDSKONTI</t>
  </si>
  <si>
    <t>750010</t>
  </si>
  <si>
    <t>Rådighed, sekr. landsdel</t>
  </si>
  <si>
    <t>750100</t>
  </si>
  <si>
    <t>Rådighed, Inspektører</t>
  </si>
  <si>
    <t>750110</t>
  </si>
  <si>
    <t>A'conto, GEÅ</t>
  </si>
  <si>
    <t>750120</t>
  </si>
  <si>
    <t>Rådighed, inspektører</t>
  </si>
  <si>
    <t>750130</t>
  </si>
  <si>
    <t>A'conto, kontor</t>
  </si>
  <si>
    <t>750199</t>
  </si>
  <si>
    <t>RÅDIGHEDSKONTI I ALT</t>
  </si>
  <si>
    <t>750000..750199</t>
  </si>
  <si>
    <t>750300</t>
  </si>
  <si>
    <t>SUMKONTI DEBITORER</t>
  </si>
  <si>
    <t>750310</t>
  </si>
  <si>
    <t>A'conto beløb debitorkonti</t>
  </si>
  <si>
    <t>750320</t>
  </si>
  <si>
    <t>Sumkonti debitorer</t>
  </si>
  <si>
    <t>750330</t>
  </si>
  <si>
    <t>Internationale udgifter</t>
  </si>
  <si>
    <t>750340</t>
  </si>
  <si>
    <t>Øvrige debitorer</t>
  </si>
  <si>
    <t>750359</t>
  </si>
  <si>
    <t>SUMKONTI DEBITORER I ALT</t>
  </si>
  <si>
    <t>750300..750359</t>
  </si>
  <si>
    <t>750399</t>
  </si>
  <si>
    <t>730000..750399</t>
  </si>
  <si>
    <t>760000</t>
  </si>
  <si>
    <t>LIKVIDEKONTI</t>
  </si>
  <si>
    <t>760010</t>
  </si>
  <si>
    <t>Danske Bank 3001576984</t>
  </si>
  <si>
    <t>760020</t>
  </si>
  <si>
    <t>Konto 11724434 dankort LW</t>
  </si>
  <si>
    <t>760030</t>
  </si>
  <si>
    <t>Konto 11674429 Mobil Pay gaver</t>
  </si>
  <si>
    <t>760040</t>
  </si>
  <si>
    <t>Danske Bank 0010724619</t>
  </si>
  <si>
    <t>760050</t>
  </si>
  <si>
    <t>MasterCard 3345627111</t>
  </si>
  <si>
    <t>760060</t>
  </si>
  <si>
    <t>Depotafkastkonto 3001916289</t>
  </si>
  <si>
    <t>760100</t>
  </si>
  <si>
    <t>Giro 7001134</t>
  </si>
  <si>
    <t>760110</t>
  </si>
  <si>
    <t>Kassebeholdning, kontor</t>
  </si>
  <si>
    <t>760120</t>
  </si>
  <si>
    <t>Mobilepay SKS 11802486</t>
  </si>
  <si>
    <t>760130</t>
  </si>
  <si>
    <t>Mobilepay Rys.11624820</t>
  </si>
  <si>
    <t>760140</t>
  </si>
  <si>
    <t>Fik kredse 10910811</t>
  </si>
  <si>
    <t>760150</t>
  </si>
  <si>
    <t>Mobilepay Myanmar</t>
  </si>
  <si>
    <t>760160</t>
  </si>
  <si>
    <t>Mobilepay Vork 12209207</t>
  </si>
  <si>
    <t>760170</t>
  </si>
  <si>
    <t>Mobilepay Sletten</t>
  </si>
  <si>
    <t>760180</t>
  </si>
  <si>
    <t>Valuta kasse</t>
  </si>
  <si>
    <t>760199</t>
  </si>
  <si>
    <t>LIKVIDEKONTI I ALT</t>
  </si>
  <si>
    <t>760000..760199</t>
  </si>
  <si>
    <t>799999</t>
  </si>
  <si>
    <t>AKTIIVER I ALT</t>
  </si>
  <si>
    <t>700000..799999</t>
  </si>
  <si>
    <t>800000</t>
  </si>
  <si>
    <t>PASSIVER</t>
  </si>
  <si>
    <t>800100</t>
  </si>
  <si>
    <t>EGENKAPITAL</t>
  </si>
  <si>
    <t>800110</t>
  </si>
  <si>
    <t>FRIE RESERVER</t>
  </si>
  <si>
    <t>800120</t>
  </si>
  <si>
    <t>Egenkapital primo</t>
  </si>
  <si>
    <t>800130</t>
  </si>
  <si>
    <t>800140</t>
  </si>
  <si>
    <t>Tilbagebet.forpligtelse tipsm.</t>
  </si>
  <si>
    <t>800150</t>
  </si>
  <si>
    <t>Op-/nedskrivning værdipapirer</t>
  </si>
  <si>
    <t>800160</t>
  </si>
  <si>
    <t>Op-/nedskrivning ejendomme</t>
  </si>
  <si>
    <t>800170</t>
  </si>
  <si>
    <t>Opskr.kapitalandele 55 Nord</t>
  </si>
  <si>
    <t>801199</t>
  </si>
  <si>
    <t>FRIE RESERVER I ALT</t>
  </si>
  <si>
    <t>800110..801199</t>
  </si>
  <si>
    <t>810000</t>
  </si>
  <si>
    <t>JULSØFONDEN</t>
  </si>
  <si>
    <t>810010</t>
  </si>
  <si>
    <t>Hensættelser</t>
  </si>
  <si>
    <t>810020</t>
  </si>
  <si>
    <t>Renter</t>
  </si>
  <si>
    <t>810030</t>
  </si>
  <si>
    <t>Afdragslån</t>
  </si>
  <si>
    <t>810040</t>
  </si>
  <si>
    <t>Rentelån</t>
  </si>
  <si>
    <t>810050</t>
  </si>
  <si>
    <t>810099</t>
  </si>
  <si>
    <t>JULSØFONDEN I ALT</t>
  </si>
  <si>
    <t>810000..810099</t>
  </si>
  <si>
    <t>810100</t>
  </si>
  <si>
    <t>HENSÆTTELSER</t>
  </si>
  <si>
    <t>810110</t>
  </si>
  <si>
    <t>Sejlcenter Sletten</t>
  </si>
  <si>
    <t>810120</t>
  </si>
  <si>
    <t>Kursuscenterfonden</t>
  </si>
  <si>
    <t>810130</t>
  </si>
  <si>
    <t>Ulands og missionbevilling</t>
  </si>
  <si>
    <t>810140</t>
  </si>
  <si>
    <t>Myanmare</t>
  </si>
  <si>
    <t>810150</t>
  </si>
  <si>
    <t>IT-udvikling</t>
  </si>
  <si>
    <t>810160</t>
  </si>
  <si>
    <t>Lukkede kredse</t>
  </si>
  <si>
    <t>810200</t>
  </si>
  <si>
    <t>UDDANNELSESPULJEN</t>
  </si>
  <si>
    <t>810210</t>
  </si>
  <si>
    <t>810220</t>
  </si>
  <si>
    <t>Intern rente</t>
  </si>
  <si>
    <t>810230</t>
  </si>
  <si>
    <t>Uddelinger</t>
  </si>
  <si>
    <t>810299</t>
  </si>
  <si>
    <t>UDDANNELSESPULJEN I ALT</t>
  </si>
  <si>
    <t>810200..810299</t>
  </si>
  <si>
    <t>810399</t>
  </si>
  <si>
    <t>HENSÆTTELSER I ALT</t>
  </si>
  <si>
    <t>810100..810399</t>
  </si>
  <si>
    <t>810499</t>
  </si>
  <si>
    <t>EGENKAPITAL I ALT</t>
  </si>
  <si>
    <t>800100..810499</t>
  </si>
  <si>
    <t>820000</t>
  </si>
  <si>
    <t>LANGFRISTEDE GÆLD</t>
  </si>
  <si>
    <t>820010</t>
  </si>
  <si>
    <t>Tilbagebetalingsforpligt.DUF</t>
  </si>
  <si>
    <t>820020</t>
  </si>
  <si>
    <t>Tilbagebetalingsforpligt.LOA</t>
  </si>
  <si>
    <t>820030</t>
  </si>
  <si>
    <t>Prioritetsgæld RD</t>
  </si>
  <si>
    <t>820099</t>
  </si>
  <si>
    <t>LANGFRISTEDE GÆLD I ALT</t>
  </si>
  <si>
    <t>820000..820099</t>
  </si>
  <si>
    <t>830000</t>
  </si>
  <si>
    <t>KORTFRISTEDE GÆLD</t>
  </si>
  <si>
    <t>830010</t>
  </si>
  <si>
    <t>PRIORITETSGÆLD NYKREDIT</t>
  </si>
  <si>
    <t>830020</t>
  </si>
  <si>
    <t>Prioritetsgæld kortf.</t>
  </si>
  <si>
    <t>830099</t>
  </si>
  <si>
    <t>PRIORITETSGÆLD NYKREDIT I ALT</t>
  </si>
  <si>
    <t>830010..830099</t>
  </si>
  <si>
    <t>830100</t>
  </si>
  <si>
    <t>INTERNAT.HJÆLPEARB.</t>
  </si>
  <si>
    <t>830200</t>
  </si>
  <si>
    <t>INTERNAT.HJÆLPEFOND</t>
  </si>
  <si>
    <t>830210</t>
  </si>
  <si>
    <t>Småprojekter</t>
  </si>
  <si>
    <t>830220</t>
  </si>
  <si>
    <t>Akut nødhjælp, katastrofe</t>
  </si>
  <si>
    <t>830299</t>
  </si>
  <si>
    <t>INTERNAT. HJÆLPEFOND I ALT</t>
  </si>
  <si>
    <t>830200..830299</t>
  </si>
  <si>
    <t>833000</t>
  </si>
  <si>
    <t>MISSIONSPROJEKT</t>
  </si>
  <si>
    <t>833100</t>
  </si>
  <si>
    <t>833110</t>
  </si>
  <si>
    <t>Indsamlinger</t>
  </si>
  <si>
    <t>833120</t>
  </si>
  <si>
    <t>833130</t>
  </si>
  <si>
    <t>Varesalg</t>
  </si>
  <si>
    <t>833150</t>
  </si>
  <si>
    <t>833199</t>
  </si>
  <si>
    <t>833100..833199</t>
  </si>
  <si>
    <t>833200</t>
  </si>
  <si>
    <t>OMKOSTNING</t>
  </si>
  <si>
    <t>833210</t>
  </si>
  <si>
    <t>833220</t>
  </si>
  <si>
    <t>Mødeudgifte</t>
  </si>
  <si>
    <t>833230</t>
  </si>
  <si>
    <t>Postkort, plakater m.v.</t>
  </si>
  <si>
    <t>833240</t>
  </si>
  <si>
    <t>Agitationsmateriale</t>
  </si>
  <si>
    <t>833250</t>
  </si>
  <si>
    <t>Tur til Uganda 2013</t>
  </si>
  <si>
    <t>833260</t>
  </si>
  <si>
    <t>Sommerlejrmatr.</t>
  </si>
  <si>
    <t>833270</t>
  </si>
  <si>
    <t>Andagtsmatr.</t>
  </si>
  <si>
    <t>833280</t>
  </si>
  <si>
    <t>Hjemmeside</t>
  </si>
  <si>
    <t>833290</t>
  </si>
  <si>
    <t>Indsmalingsmateriale</t>
  </si>
  <si>
    <t>833300</t>
  </si>
  <si>
    <t>Film-projekt</t>
  </si>
  <si>
    <t>833310</t>
  </si>
  <si>
    <t>Kurser i 2010 og 2011</t>
  </si>
  <si>
    <t>833320</t>
  </si>
  <si>
    <t>Fælles sommerlejrdag 2010</t>
  </si>
  <si>
    <t>833330</t>
  </si>
  <si>
    <t>Seniorcity 2010</t>
  </si>
  <si>
    <t>833340</t>
  </si>
  <si>
    <t>Løn Anja</t>
  </si>
  <si>
    <t>833350</t>
  </si>
  <si>
    <t>Efterskoleevent 2011</t>
  </si>
  <si>
    <t>833360</t>
  </si>
  <si>
    <t>Landslejren</t>
  </si>
  <si>
    <t>833370</t>
  </si>
  <si>
    <t>Højskolepraktikanter</t>
  </si>
  <si>
    <t>833380</t>
  </si>
  <si>
    <t>Evaluering</t>
  </si>
  <si>
    <t>833398</t>
  </si>
  <si>
    <t>OMKOSTNINGER I ALT</t>
  </si>
  <si>
    <t>833200..833398</t>
  </si>
  <si>
    <t>833399</t>
  </si>
  <si>
    <t>MISSIONSPROJEKT I ALT</t>
  </si>
  <si>
    <t>833000..833399</t>
  </si>
  <si>
    <t>834999</t>
  </si>
  <si>
    <t>INT. HJÆLPEARBEJDE I ALT</t>
  </si>
  <si>
    <t>830100..834999</t>
  </si>
  <si>
    <t>850000</t>
  </si>
  <si>
    <t>MELLEMREGNINGER</t>
  </si>
  <si>
    <t>850010</t>
  </si>
  <si>
    <t>Mellemregning LD1</t>
  </si>
  <si>
    <t>850020</t>
  </si>
  <si>
    <t>Mellemregning LD2</t>
  </si>
  <si>
    <t>850030</t>
  </si>
  <si>
    <t>Mellemregning LD3</t>
  </si>
  <si>
    <t>850040</t>
  </si>
  <si>
    <t>Mellemregning LD4</t>
  </si>
  <si>
    <t>850050</t>
  </si>
  <si>
    <t>Mellemregning LD5</t>
  </si>
  <si>
    <t>850060</t>
  </si>
  <si>
    <t>Mellemregning LD6</t>
  </si>
  <si>
    <t>850070</t>
  </si>
  <si>
    <t>Mellemregning LD7</t>
  </si>
  <si>
    <t>850080</t>
  </si>
  <si>
    <t>Mellemregning LD8</t>
  </si>
  <si>
    <t>850090</t>
  </si>
  <si>
    <t>Forsikring for kredse</t>
  </si>
  <si>
    <t>850100</t>
  </si>
  <si>
    <t>Mellemregning HCT-fonden</t>
  </si>
  <si>
    <t>850110</t>
  </si>
  <si>
    <t>SUK</t>
  </si>
  <si>
    <t>850120</t>
  </si>
  <si>
    <t>Kanosamrådet</t>
  </si>
  <si>
    <t>850130</t>
  </si>
  <si>
    <t>Intern omsætning 55 gr. Nord</t>
  </si>
  <si>
    <t>850140</t>
  </si>
  <si>
    <t>Mellemregning Vork</t>
  </si>
  <si>
    <t>850150</t>
  </si>
  <si>
    <t>Mellemregning 55 gr. Nord deb.</t>
  </si>
  <si>
    <t>850160</t>
  </si>
  <si>
    <t>Mellemregning 55 gr. Nord. div</t>
  </si>
  <si>
    <t>850170</t>
  </si>
  <si>
    <t>Det med Gud</t>
  </si>
  <si>
    <t>850180</t>
  </si>
  <si>
    <t>Hele Danmarks Familieklub</t>
  </si>
  <si>
    <t>850190</t>
  </si>
  <si>
    <t>EF opsparing (mellemregning)</t>
  </si>
  <si>
    <t>851199</t>
  </si>
  <si>
    <t>MELLEMREGNINGER I ALT</t>
  </si>
  <si>
    <t>850000..851199</t>
  </si>
  <si>
    <t>852000</t>
  </si>
  <si>
    <t>SUMKONTO KREDITORER</t>
  </si>
  <si>
    <t>852010</t>
  </si>
  <si>
    <t>Sumkonto kreditorer</t>
  </si>
  <si>
    <t>852099</t>
  </si>
  <si>
    <t>SUMKONTO KREDITORER I ALT</t>
  </si>
  <si>
    <t>852000..852099</t>
  </si>
  <si>
    <t>853000</t>
  </si>
  <si>
    <t>SKYLDIGE PERSONALEOMKOSTNINGER</t>
  </si>
  <si>
    <t>853010</t>
  </si>
  <si>
    <t>A-skat lessor</t>
  </si>
  <si>
    <t>853020</t>
  </si>
  <si>
    <t>AM-bidrag lessor</t>
  </si>
  <si>
    <t>853030</t>
  </si>
  <si>
    <t>Andre bidrag</t>
  </si>
  <si>
    <t>853040</t>
  </si>
  <si>
    <t>ATP</t>
  </si>
  <si>
    <t>853050</t>
  </si>
  <si>
    <t>Feriekonto</t>
  </si>
  <si>
    <t>853060</t>
  </si>
  <si>
    <t>Skyldige pensioner</t>
  </si>
  <si>
    <t>853070</t>
  </si>
  <si>
    <t>Mellemregning løn</t>
  </si>
  <si>
    <t>853080</t>
  </si>
  <si>
    <t>Bruttolønsordning</t>
  </si>
  <si>
    <t>853099</t>
  </si>
  <si>
    <t>SKYLDIGE PERSONALEOMK. I ALT</t>
  </si>
  <si>
    <t>853000..853099</t>
  </si>
  <si>
    <t>854000</t>
  </si>
  <si>
    <t>SKYLDIGE OMKOSTNINGER</t>
  </si>
  <si>
    <t>854010</t>
  </si>
  <si>
    <t>Stabskassen</t>
  </si>
  <si>
    <t>854020</t>
  </si>
  <si>
    <t>Kontorkassen</t>
  </si>
  <si>
    <t>854025</t>
  </si>
  <si>
    <t>Frokostklub</t>
  </si>
  <si>
    <t>854030</t>
  </si>
  <si>
    <t>Periodiseringer/skyldig</t>
  </si>
  <si>
    <t>854040</t>
  </si>
  <si>
    <t>Forudbetaling vedr. 2019</t>
  </si>
  <si>
    <t>854050</t>
  </si>
  <si>
    <t>Forsikringssager/brand Sletten</t>
  </si>
  <si>
    <t>854060</t>
  </si>
  <si>
    <t>Øvrige skyldige omk.</t>
  </si>
  <si>
    <t>854070</t>
  </si>
  <si>
    <t>Periodiseret friluftsrådet</t>
  </si>
  <si>
    <t>854199</t>
  </si>
  <si>
    <t>SKYLDIGE OMKOSTNINGER I ALT</t>
  </si>
  <si>
    <t>854000..854199</t>
  </si>
  <si>
    <t>870000</t>
  </si>
  <si>
    <t>LANDSLEJR</t>
  </si>
  <si>
    <t>871000</t>
  </si>
  <si>
    <t>871100</t>
  </si>
  <si>
    <t>DELTAGERBETALING</t>
  </si>
  <si>
    <t>871110</t>
  </si>
  <si>
    <t>Depositum, kredshold</t>
  </si>
  <si>
    <t>871120</t>
  </si>
  <si>
    <t>Restafgift, kredshold</t>
  </si>
  <si>
    <t>871130</t>
  </si>
  <si>
    <t>Deltagerafgift, ikke medlem</t>
  </si>
  <si>
    <t>871140</t>
  </si>
  <si>
    <t>Deltagerafgift, udenl. hold</t>
  </si>
  <si>
    <t>871150</t>
  </si>
  <si>
    <t>Bidrag Myanmar</t>
  </si>
  <si>
    <t>871160</t>
  </si>
  <si>
    <t>Deltagerafgift, enkeltdage</t>
  </si>
  <si>
    <t>871199</t>
  </si>
  <si>
    <t>DELTAGERBETALING I ALT</t>
  </si>
  <si>
    <t>871100..871199</t>
  </si>
  <si>
    <t>871200</t>
  </si>
  <si>
    <t>871210</t>
  </si>
  <si>
    <t>871220</t>
  </si>
  <si>
    <t>Entreindtægter</t>
  </si>
  <si>
    <t>871230</t>
  </si>
  <si>
    <t>Korttidscamping</t>
  </si>
  <si>
    <t>871240</t>
  </si>
  <si>
    <t>Sponsorater</t>
  </si>
  <si>
    <t>871250</t>
  </si>
  <si>
    <t>LL armbånd</t>
  </si>
  <si>
    <t>871299</t>
  </si>
  <si>
    <t>871200..871299</t>
  </si>
  <si>
    <t>871999</t>
  </si>
  <si>
    <t>871000..871999</t>
  </si>
  <si>
    <t>872000</t>
  </si>
  <si>
    <t>872100</t>
  </si>
  <si>
    <t>ADMINISTRATION</t>
  </si>
  <si>
    <t>872110</t>
  </si>
  <si>
    <t>872113</t>
  </si>
  <si>
    <t>Loomis</t>
  </si>
  <si>
    <t>872120</t>
  </si>
  <si>
    <t>Sekretariat</t>
  </si>
  <si>
    <t>872130</t>
  </si>
  <si>
    <t>Kontorartikler</t>
  </si>
  <si>
    <t>872140</t>
  </si>
  <si>
    <t>Kopiering</t>
  </si>
  <si>
    <t>872150</t>
  </si>
  <si>
    <t>Porto</t>
  </si>
  <si>
    <t>872160</t>
  </si>
  <si>
    <t>Fragt</t>
  </si>
  <si>
    <t>872170</t>
  </si>
  <si>
    <t>Kørsel og brændstof</t>
  </si>
  <si>
    <t>872180</t>
  </si>
  <si>
    <t>872190</t>
  </si>
  <si>
    <t>Småanskaffelser blivende</t>
  </si>
  <si>
    <t>872195</t>
  </si>
  <si>
    <t>Programudg. engang</t>
  </si>
  <si>
    <t>872200</t>
  </si>
  <si>
    <t>Tryksager</t>
  </si>
  <si>
    <t>872210</t>
  </si>
  <si>
    <t>Leje af materialer aktivitet</t>
  </si>
  <si>
    <t>872220</t>
  </si>
  <si>
    <t>IT-omkostninger</t>
  </si>
  <si>
    <t>872230</t>
  </si>
  <si>
    <t>Telefonrefusion</t>
  </si>
  <si>
    <t>872240</t>
  </si>
  <si>
    <t>Erstatninger</t>
  </si>
  <si>
    <t>872299</t>
  </si>
  <si>
    <t>ADMINISTRATION I ALT</t>
  </si>
  <si>
    <t>872100..872299</t>
  </si>
  <si>
    <t>872300</t>
  </si>
  <si>
    <t>PR</t>
  </si>
  <si>
    <t>872310</t>
  </si>
  <si>
    <t>Indbydelse</t>
  </si>
  <si>
    <t>872320</t>
  </si>
  <si>
    <t>Lejravis</t>
  </si>
  <si>
    <t>872330</t>
  </si>
  <si>
    <t>Video bruges ikke</t>
  </si>
  <si>
    <t>872350</t>
  </si>
  <si>
    <t>Anden PR app udvikling</t>
  </si>
  <si>
    <t>872399</t>
  </si>
  <si>
    <t>PR I ALT</t>
  </si>
  <si>
    <t>872300..872399</t>
  </si>
  <si>
    <t>872400</t>
  </si>
  <si>
    <t>TEKNIK</t>
  </si>
  <si>
    <t>872410</t>
  </si>
  <si>
    <t>Telte/barakker</t>
  </si>
  <si>
    <t>872415</t>
  </si>
  <si>
    <t>Leje af hytter mv.</t>
  </si>
  <si>
    <t>872420</t>
  </si>
  <si>
    <t>Brænde</t>
  </si>
  <si>
    <t>872430</t>
  </si>
  <si>
    <t>Rafter</t>
  </si>
  <si>
    <t>872440</t>
  </si>
  <si>
    <t>Elinstallationer</t>
  </si>
  <si>
    <t>872450</t>
  </si>
  <si>
    <t>Elforbrug</t>
  </si>
  <si>
    <t>872460</t>
  </si>
  <si>
    <t>Vandinstallationer</t>
  </si>
  <si>
    <t>872470</t>
  </si>
  <si>
    <t>Vandforbrug</t>
  </si>
  <si>
    <t>872480</t>
  </si>
  <si>
    <t>Telefoninstallation</t>
  </si>
  <si>
    <t>872490</t>
  </si>
  <si>
    <t>Telefonforbrug</t>
  </si>
  <si>
    <t>872500</t>
  </si>
  <si>
    <t>Radiokommunikation</t>
  </si>
  <si>
    <t>872510</t>
  </si>
  <si>
    <t>Etablering af scene</t>
  </si>
  <si>
    <t>872520</t>
  </si>
  <si>
    <t>Andre etableringsomk.</t>
  </si>
  <si>
    <t>872530</t>
  </si>
  <si>
    <t>Uforudsete omk.</t>
  </si>
  <si>
    <t>872540</t>
  </si>
  <si>
    <t>Leje Containere</t>
  </si>
  <si>
    <t>872550</t>
  </si>
  <si>
    <t>872560</t>
  </si>
  <si>
    <t>Leje af materialer</t>
  </si>
  <si>
    <t>872570</t>
  </si>
  <si>
    <t>872580</t>
  </si>
  <si>
    <t>Udsmykning</t>
  </si>
  <si>
    <t>872599</t>
  </si>
  <si>
    <t>TEKNIK I ALT</t>
  </si>
  <si>
    <t>872400..872599</t>
  </si>
  <si>
    <t>872600</t>
  </si>
  <si>
    <t>VAREKØB</t>
  </si>
  <si>
    <t>872610</t>
  </si>
  <si>
    <t>Varekøb til videresalg</t>
  </si>
  <si>
    <t>872699</t>
  </si>
  <si>
    <t>VAREKØB I ALT</t>
  </si>
  <si>
    <t>872600..872699</t>
  </si>
  <si>
    <t>872700</t>
  </si>
  <si>
    <t>REJSEOMKOSTNINGER</t>
  </si>
  <si>
    <t>872710</t>
  </si>
  <si>
    <t>Rejsegodtgørelse kredse</t>
  </si>
  <si>
    <t>872720</t>
  </si>
  <si>
    <t>Rejsegodtgørelse medarb.</t>
  </si>
  <si>
    <t>872740</t>
  </si>
  <si>
    <t>Bustransport</t>
  </si>
  <si>
    <t>872799</t>
  </si>
  <si>
    <t>REJSEOMKOSTNINGER I ALT</t>
  </si>
  <si>
    <t>872700..872799</t>
  </si>
  <si>
    <t>872999</t>
  </si>
  <si>
    <t>872000..872999</t>
  </si>
  <si>
    <t>879999</t>
  </si>
  <si>
    <t>LANDSLEJR I ALT</t>
  </si>
  <si>
    <t>870000..879999</t>
  </si>
  <si>
    <t>900000</t>
  </si>
  <si>
    <t>MOMS</t>
  </si>
  <si>
    <t>900010</t>
  </si>
  <si>
    <t>Salgsmoms udgående</t>
  </si>
  <si>
    <t>900020</t>
  </si>
  <si>
    <t>Købemoms indgående</t>
  </si>
  <si>
    <t>900030</t>
  </si>
  <si>
    <t>Momsafregning</t>
  </si>
  <si>
    <t>900099</t>
  </si>
  <si>
    <t>MOMS I ALT</t>
  </si>
  <si>
    <t>900000..900099</t>
  </si>
  <si>
    <t>900100</t>
  </si>
  <si>
    <t>MOMS (40751653) SKOVBRUG</t>
  </si>
  <si>
    <t>900110</t>
  </si>
  <si>
    <t>Salgsmoms skovbrug</t>
  </si>
  <si>
    <t>900120</t>
  </si>
  <si>
    <t>Købsmoms skovbrug</t>
  </si>
  <si>
    <t>900130</t>
  </si>
  <si>
    <t>Momsafregning skovbrug</t>
  </si>
  <si>
    <t>900140</t>
  </si>
  <si>
    <t>900199</t>
  </si>
  <si>
    <t>MOMS SKOVBRUG I ALT</t>
  </si>
  <si>
    <t>900100..900199</t>
  </si>
  <si>
    <t>980000</t>
  </si>
  <si>
    <t>OMPOSTERINGER</t>
  </si>
  <si>
    <t>980010</t>
  </si>
  <si>
    <t>Omposteringer</t>
  </si>
  <si>
    <t>980020</t>
  </si>
  <si>
    <t>Diverse til viderefaturering</t>
  </si>
  <si>
    <t>980030</t>
  </si>
  <si>
    <t>Debitor indbetalinger</t>
  </si>
  <si>
    <t>980040</t>
  </si>
  <si>
    <t>Viderefak. 55 Nord og KFUM</t>
  </si>
  <si>
    <t>980070</t>
  </si>
  <si>
    <t>B-indkomst udbetalt</t>
  </si>
  <si>
    <t>980080</t>
  </si>
  <si>
    <t>B-indkomst oveført</t>
  </si>
  <si>
    <t>988888</t>
  </si>
  <si>
    <t>Spectra, udestående regnskab</t>
  </si>
  <si>
    <t>989999</t>
  </si>
  <si>
    <t>OMPOSTERINGER I ALT</t>
  </si>
  <si>
    <t>980000..989999</t>
  </si>
  <si>
    <t>999989</t>
  </si>
  <si>
    <t>KORTFRISTEDE GÆLD I ALT</t>
  </si>
  <si>
    <t>830000..999989</t>
  </si>
  <si>
    <t>999999</t>
  </si>
  <si>
    <t>PASSIVER I ALT</t>
  </si>
  <si>
    <t>800000..999999</t>
  </si>
  <si>
    <t>Bilag til HB-møde den 25.-26. september 2020</t>
  </si>
  <si>
    <t>Scenarie: Landslejr i 2022</t>
  </si>
  <si>
    <t>Status</t>
  </si>
  <si>
    <t>B</t>
  </si>
  <si>
    <t>Corona</t>
  </si>
  <si>
    <t>2019-tilskuddet uden fremskrivning</t>
  </si>
  <si>
    <t>Stigningen i momskompensation forventes først i 2023 året efter ll22</t>
  </si>
  <si>
    <t>modtaget lønkompensation er i status indregnet under de enkelte lønkonti</t>
  </si>
  <si>
    <t>Er udfaset i 21</t>
  </si>
  <si>
    <t>Anslået kompensation til dækning af faste omkostninger</t>
  </si>
  <si>
    <t>Butikkens eget estimat</t>
  </si>
  <si>
    <t>Baseret på input fra butik. Uden landslejr i 21 må der forventes et magert år igen i 21, til gengæld kan 22 gå hen og blive god, hvis der både er SL22 og FDF LL22</t>
  </si>
  <si>
    <t>Anslået beløb - VM og Seniorcity er aflyst - familielejren er gennemført</t>
  </si>
  <si>
    <t>Mulig besparelse på møder mm. Grundet coronanedgangi aktivitetsniveau</t>
  </si>
  <si>
    <t>Mindre forbrug grundet bl.a. corona.</t>
  </si>
  <si>
    <t>Jf. forslag i november 19</t>
  </si>
  <si>
    <t>Estimeret nettooverskridelse dækker over mistet/lavere udlejning + lavere forbrug</t>
  </si>
  <si>
    <t>Estimeret nettooverskridelse dækker over mistet udlejning + lavere forbrug</t>
  </si>
  <si>
    <t>Vi bytter rundt på 21 og 22, når landslejren flyttes til 22. Det skal forklares at der kan risikeres større tab på udlejning også i 21. måske op til 750 tkr-1 mio. fordelt på begge ejendomme.</t>
  </si>
  <si>
    <t>Afskrivninger på eksisterende ejendomme</t>
  </si>
  <si>
    <t>Anslåede udgifter ved aflyste kurser + onlinekurser. Endnu stor usikkerhed omkr. Efterårets kurser</t>
  </si>
  <si>
    <t>Nedjusteret i november 19 grundet lavere forbrug tidligere</t>
  </si>
  <si>
    <t>Nedjusteret i november 19</t>
  </si>
  <si>
    <t>Afskrivninger på nyt regnskabssystem</t>
  </si>
  <si>
    <t>Årlige afskrivninger</t>
  </si>
  <si>
    <t>Tilpasning af hjemmeside</t>
  </si>
  <si>
    <t>Forslag til kontingentsatser</t>
  </si>
  <si>
    <t>Kontingentpligtige medlemmer</t>
  </si>
  <si>
    <t>Antal 0-4-årige</t>
  </si>
  <si>
    <t>Kontingent sats pr. medlem</t>
  </si>
  <si>
    <t>(385/390)*</t>
  </si>
  <si>
    <t>Kontingent sats pr. medlem 0-4 år</t>
  </si>
  <si>
    <t>Minimumskontingent for medlemskab af FDF</t>
  </si>
  <si>
    <t>*forskel på mediekontingentet for medlemmer hhv. over og under 18 år. Mediekontingentet er nu udfaset.</t>
  </si>
  <si>
    <t>Regnskab</t>
  </si>
  <si>
    <t>Landsmødebudget</t>
  </si>
  <si>
    <t>Budget</t>
  </si>
  <si>
    <t>Ambition og udviklingsmål (note 1)</t>
  </si>
  <si>
    <t>FDF LEDEREN</t>
  </si>
  <si>
    <t>Ordinær drift Rysensteen</t>
  </si>
  <si>
    <t>Ordinær drift af Friluftscenter Sletten</t>
  </si>
  <si>
    <t>Afskrivninger på ejendomme (note 4)</t>
  </si>
  <si>
    <t>Tilført Medlemspuljen fra Lukkede kredse (note 1)</t>
  </si>
  <si>
    <t>Medlemspuljen (note 1)</t>
  </si>
  <si>
    <t>Julsøfonden (note 2)</t>
  </si>
  <si>
    <t>Noter</t>
  </si>
  <si>
    <t>Note 1</t>
  </si>
  <si>
    <t>Note 2</t>
  </si>
  <si>
    <t>Note 3</t>
  </si>
  <si>
    <t>Øvrige noter</t>
  </si>
  <si>
    <t>Note 4</t>
  </si>
  <si>
    <t>Note 5</t>
  </si>
  <si>
    <t>Rammebeløb afsat til ekstraordinære investeringer, som der foretages afskrivninger på</t>
  </si>
  <si>
    <t>Årlig afskrivning*</t>
  </si>
  <si>
    <t>Ombygning af Laden+servicebygning på Sletten</t>
  </si>
  <si>
    <t>Nye møbler Det ny Sletten</t>
  </si>
  <si>
    <t>Nyt gulv Det ny Sletten</t>
  </si>
  <si>
    <t>Udskiftning af køkkenmaskiner Det ny Sletten</t>
  </si>
  <si>
    <t>*afskrivningerne er indregnet i driftsbudgetterne ovenfor</t>
  </si>
  <si>
    <t>Budgetopfølgning 2023</t>
  </si>
  <si>
    <t>Bilag til FU-møde marts 2022</t>
  </si>
  <si>
    <t xml:space="preserve">Realiseret </t>
  </si>
  <si>
    <t>Landsmøde-budget</t>
  </si>
  <si>
    <t>Estimat i LM-budget</t>
  </si>
  <si>
    <t>Årsregnskab</t>
  </si>
  <si>
    <t>Diff t.</t>
  </si>
  <si>
    <t>Diff. t.</t>
  </si>
  <si>
    <t>Realiseret</t>
  </si>
  <si>
    <t>Afvigelse til</t>
  </si>
  <si>
    <t>Afvigelse til LM-budget</t>
  </si>
  <si>
    <t xml:space="preserve">Afvigelse til </t>
  </si>
  <si>
    <t>Landsmøde-budet</t>
  </si>
  <si>
    <t>realiseret</t>
  </si>
  <si>
    <t>31. oktober</t>
  </si>
  <si>
    <t>LM-budget</t>
  </si>
  <si>
    <t>oktoberestimat</t>
  </si>
  <si>
    <t>2023 Q1</t>
  </si>
  <si>
    <t>Coronahjælpepakke Dækning af faste omkostninger</t>
  </si>
  <si>
    <t>Fundraising til kredsstartsprojekt</t>
  </si>
  <si>
    <t>Afvigelse til periodebudget</t>
  </si>
  <si>
    <t>Kredsstart</t>
  </si>
  <si>
    <t>Kommunikation til Pilte</t>
  </si>
  <si>
    <t>SoMe</t>
  </si>
  <si>
    <t>Div. layout</t>
  </si>
  <si>
    <t>FDF.dk</t>
  </si>
  <si>
    <t>Landsmøde/midtvejsdebat</t>
  </si>
  <si>
    <t>Tab på debitorer</t>
  </si>
  <si>
    <t>Tilbageførsel af henlæggelser</t>
  </si>
  <si>
    <t xml:space="preserve">Medlemspuljen </t>
  </si>
  <si>
    <t>Afskrivning gældsbrev 55 Nord</t>
  </si>
  <si>
    <t>Overført til op- og nedskrivning af kapitalandele i butikken 55°NORD</t>
  </si>
  <si>
    <t>Diff. t. oktoberestimat</t>
  </si>
  <si>
    <t>Primo saldo</t>
  </si>
  <si>
    <t>Til rådighed Medlemspuljen</t>
  </si>
  <si>
    <t>Anvendt Medlemspuljen i alt</t>
  </si>
  <si>
    <t>Årlige afskrivninger på eksisterende ejendomme ved omlægning fra 2020</t>
  </si>
  <si>
    <t>Investeringsår</t>
  </si>
  <si>
    <t>*afskrivningerne er indregnet i driftsbudgetterne ovenfor, startende fra investeringsåret</t>
  </si>
  <si>
    <t>Udvalgte investeringer/balanceposter</t>
  </si>
  <si>
    <t>Ny Servicebygning Sletten</t>
  </si>
  <si>
    <t>FDF Landslejr 2022</t>
  </si>
  <si>
    <t>Starttotal</t>
  </si>
  <si>
    <t>Bogføring</t>
  </si>
  <si>
    <t>Sluttotal</t>
  </si>
  <si>
    <t>120060</t>
  </si>
  <si>
    <t>Kompensation Faste omk.</t>
  </si>
  <si>
    <t>120070</t>
  </si>
  <si>
    <t>Lønkompensation</t>
  </si>
  <si>
    <t>Distribution</t>
  </si>
  <si>
    <t>Indeksregulering Feriemidler</t>
  </si>
  <si>
    <t>Godtgørelse</t>
  </si>
  <si>
    <t>Samlet betaling</t>
  </si>
  <si>
    <t>220015</t>
  </si>
  <si>
    <t>Øvrige befordring</t>
  </si>
  <si>
    <t>Mødeudgifter</t>
  </si>
  <si>
    <t>Øvrige personaleomk.</t>
  </si>
  <si>
    <t xml:space="preserve">FDF i samarbejde/Fastholde og </t>
  </si>
  <si>
    <t>Fællesskab og relationer/Fortæ</t>
  </si>
  <si>
    <t>Ledelse</t>
  </si>
  <si>
    <t>PR og Materialer</t>
  </si>
  <si>
    <t>Kirke event</t>
  </si>
  <si>
    <t>FIMCAP</t>
  </si>
  <si>
    <t>EuroCourse/krinkel</t>
  </si>
  <si>
    <t>Jagten/ Flugten</t>
  </si>
  <si>
    <t>340190</t>
  </si>
  <si>
    <t>MEDIER</t>
  </si>
  <si>
    <t>Layout</t>
  </si>
  <si>
    <t>Annoncering</t>
  </si>
  <si>
    <t>Redaktionsomk. u/moms</t>
  </si>
  <si>
    <t>Redaktionsomk. m/moms</t>
  </si>
  <si>
    <t>MEDIER I ALT</t>
  </si>
  <si>
    <t>441065</t>
  </si>
  <si>
    <t>Energi omk.</t>
  </si>
  <si>
    <t>Vedligeholdelse bygninger</t>
  </si>
  <si>
    <t>441580</t>
  </si>
  <si>
    <t>Afskrivninger ejendomme</t>
  </si>
  <si>
    <t xml:space="preserve">Historisk samling bruges ikke </t>
  </si>
  <si>
    <t>Total</t>
  </si>
  <si>
    <t>Transport (kørsel, tog, bro m.m.)</t>
  </si>
  <si>
    <t>KURSUSVIRKSOMHED I ALT</t>
  </si>
  <si>
    <t>Internet og linjer</t>
  </si>
  <si>
    <t>Hardware bruges ikke</t>
  </si>
  <si>
    <t>Software, Licenser, Systemer og support</t>
  </si>
  <si>
    <t>640180</t>
  </si>
  <si>
    <t>Afskrivninger IT investering</t>
  </si>
  <si>
    <t>660030</t>
  </si>
  <si>
    <t>Gebyr medlemsservice</t>
  </si>
  <si>
    <t>INDSTILLEDE KREDSE</t>
  </si>
  <si>
    <t>Medlemspuljen - Kredsstart</t>
  </si>
  <si>
    <t>Julsøfonden - Afskrivninger ejendomme</t>
  </si>
  <si>
    <t>700070</t>
  </si>
  <si>
    <t>700080</t>
  </si>
  <si>
    <t>Ny servicebygning Sletten</t>
  </si>
  <si>
    <t>710100</t>
  </si>
  <si>
    <t>Immaterielle anlægsaktiver</t>
  </si>
  <si>
    <t>710110</t>
  </si>
  <si>
    <t>IT projekt</t>
  </si>
  <si>
    <t>710199</t>
  </si>
  <si>
    <t>Imaterielle anlægsaktiver ialt</t>
  </si>
  <si>
    <t>710100..710199</t>
  </si>
  <si>
    <t>VM 2022</t>
  </si>
  <si>
    <t>Forudbetalte omk.</t>
  </si>
  <si>
    <t>Gældsbrev  55 Nord 3 mdr.</t>
  </si>
  <si>
    <t>Euro på LL2022 kurs 7,44</t>
  </si>
  <si>
    <t>Medlemdsservice</t>
  </si>
  <si>
    <t>760190</t>
  </si>
  <si>
    <t>Kontingent/arrangement 13525617</t>
  </si>
  <si>
    <t>810060</t>
  </si>
  <si>
    <t>Afskrivninger bygninger</t>
  </si>
  <si>
    <t>Hensat kredsstart</t>
  </si>
  <si>
    <t>Bevillinger medlemspuljen (kredit)</t>
  </si>
  <si>
    <t>March og Lejr</t>
  </si>
  <si>
    <t>Mellemregning MS kredse</t>
  </si>
  <si>
    <t>Mellemregning MS arrangementer/events</t>
  </si>
  <si>
    <t>Depositum Salling Group</t>
  </si>
  <si>
    <t xml:space="preserve">A-skat </t>
  </si>
  <si>
    <t xml:space="preserve">AM-bidrag </t>
  </si>
  <si>
    <t>Afdrag lån</t>
  </si>
  <si>
    <t>Gaver Globus</t>
  </si>
  <si>
    <t>Pakering</t>
  </si>
  <si>
    <t>Gebyr Pay4it</t>
  </si>
  <si>
    <t>Program og aktivitetsudg.</t>
  </si>
  <si>
    <t>900145</t>
  </si>
  <si>
    <t>Feriefonden</t>
  </si>
  <si>
    <t>900150</t>
  </si>
  <si>
    <t>Ferietillæg</t>
  </si>
  <si>
    <t>bet. retur MS</t>
  </si>
  <si>
    <t>2380794</t>
  </si>
  <si>
    <t>MDJ kørsel 3</t>
  </si>
  <si>
    <t>SOME</t>
  </si>
  <si>
    <t>Bankkonto</t>
  </si>
  <si>
    <t>TINEC</t>
  </si>
  <si>
    <t>2380793</t>
  </si>
  <si>
    <t>MSH Rema100 2</t>
  </si>
  <si>
    <t>Finanskonto</t>
  </si>
  <si>
    <t>MSH &lt;Boomshackers 2</t>
  </si>
  <si>
    <t>2230241</t>
  </si>
  <si>
    <t>GP tryk  5200 stk 28 sider</t>
  </si>
  <si>
    <t>198083</t>
  </si>
  <si>
    <t>BIRGITTEBJ</t>
  </si>
  <si>
    <t>2230372</t>
  </si>
  <si>
    <t>Jakob Keamer</t>
  </si>
  <si>
    <t>1616</t>
  </si>
  <si>
    <t>2230279</t>
  </si>
  <si>
    <t>GP Tryk  Sille og Sigurd leder</t>
  </si>
  <si>
    <t>208144</t>
  </si>
  <si>
    <t>2230278</t>
  </si>
  <si>
    <t>GP Tryk  sille og sigurd</t>
  </si>
  <si>
    <t>208145</t>
  </si>
  <si>
    <t>2230150</t>
  </si>
  <si>
    <t xml:space="preserve">GP-Tryk  800 stik 20 sider </t>
  </si>
  <si>
    <t>196296</t>
  </si>
  <si>
    <t>2230145</t>
  </si>
  <si>
    <t>SUPERECO'</t>
  </si>
  <si>
    <t>106882</t>
  </si>
  <si>
    <t>2380868</t>
  </si>
  <si>
    <t>JK kørsel 3</t>
  </si>
  <si>
    <t>PILTEUDVALG</t>
  </si>
  <si>
    <t>2380822</t>
  </si>
  <si>
    <t>LOT Rema1000 2</t>
  </si>
  <si>
    <t>2380821</t>
  </si>
  <si>
    <t>LOT bus-og togbill. 1</t>
  </si>
  <si>
    <t>2380684</t>
  </si>
  <si>
    <t>RL eventyr sport prod.test 4</t>
  </si>
  <si>
    <t>2230089</t>
  </si>
  <si>
    <t>55 NORD  HOodie</t>
  </si>
  <si>
    <t>152909</t>
  </si>
  <si>
    <t>2380887</t>
  </si>
  <si>
    <t>Adobe</t>
  </si>
  <si>
    <t>2380827</t>
  </si>
  <si>
    <t>SLHV togbill. 1</t>
  </si>
  <si>
    <t>31110</t>
  </si>
  <si>
    <t>SLHV føtex 1</t>
  </si>
  <si>
    <t>SLHV aftensmad 1</t>
  </si>
  <si>
    <t>2380791</t>
  </si>
  <si>
    <t>2380703</t>
  </si>
  <si>
    <t>JS frugt tiktok møde 7</t>
  </si>
  <si>
    <t>2380720</t>
  </si>
  <si>
    <t xml:space="preserve">Mailchimp </t>
  </si>
  <si>
    <t>2380263</t>
  </si>
  <si>
    <t>Mailchimp feb. gebyr</t>
  </si>
  <si>
    <t>Mailchimp feb.</t>
  </si>
  <si>
    <t>2380050</t>
  </si>
  <si>
    <t>Mailchimp gebyr</t>
  </si>
  <si>
    <t>2381012</t>
  </si>
  <si>
    <t>2380296</t>
  </si>
  <si>
    <t>Adobe 1/1-3/3-2023</t>
  </si>
  <si>
    <t>2380295</t>
  </si>
  <si>
    <t>2380292</t>
  </si>
  <si>
    <t>Issuu 1/1-8/5-2023</t>
  </si>
  <si>
    <t>2230137</t>
  </si>
  <si>
    <t>GP tryk 6200 stk 36s</t>
  </si>
  <si>
    <t>190670</t>
  </si>
  <si>
    <t>2230149</t>
  </si>
  <si>
    <t>106902</t>
  </si>
  <si>
    <t>2230215</t>
  </si>
  <si>
    <t>Distribution PLUS  kursuskatalog</t>
  </si>
  <si>
    <t>KURSUSKATALOG</t>
  </si>
  <si>
    <t>84592</t>
  </si>
  <si>
    <t>2230214</t>
  </si>
  <si>
    <t>84589</t>
  </si>
  <si>
    <t>2230141</t>
  </si>
  <si>
    <t>GP Tryk  kursuskatalog 8925 stk</t>
  </si>
  <si>
    <t>190719</t>
  </si>
  <si>
    <t>2230144</t>
  </si>
  <si>
    <t>106887</t>
  </si>
  <si>
    <t>2380646</t>
  </si>
  <si>
    <t>fakt. 1115170 kreds CMS Bjerrehytten afskr.</t>
  </si>
  <si>
    <t>Debitor</t>
  </si>
  <si>
    <t>919998</t>
  </si>
  <si>
    <t>fakt. 1117753 kreds CMS Bjerrehytten afskr.</t>
  </si>
  <si>
    <t>18606</t>
  </si>
  <si>
    <t>Kreditnota SK09438</t>
  </si>
  <si>
    <t>2380415</t>
  </si>
  <si>
    <t>Kreds CMS 2022</t>
  </si>
  <si>
    <t>1117749</t>
  </si>
  <si>
    <t>KREDS CMS 2022</t>
  </si>
  <si>
    <t>1117760</t>
  </si>
  <si>
    <t>1117759</t>
  </si>
  <si>
    <t>1117758</t>
  </si>
  <si>
    <t>1117757</t>
  </si>
  <si>
    <t>1117756</t>
  </si>
  <si>
    <t>1117755</t>
  </si>
  <si>
    <t>1117754</t>
  </si>
  <si>
    <t>1117753</t>
  </si>
  <si>
    <t>1117752</t>
  </si>
  <si>
    <t>1117751</t>
  </si>
  <si>
    <t>1117750</t>
  </si>
  <si>
    <t>1117748</t>
  </si>
  <si>
    <t>1117747</t>
  </si>
  <si>
    <t>KONTAKTMODUL 2022</t>
  </si>
  <si>
    <t>1117746</t>
  </si>
  <si>
    <t>1117745</t>
  </si>
  <si>
    <t>1117744</t>
  </si>
  <si>
    <t>1117743</t>
  </si>
  <si>
    <t>1117742</t>
  </si>
  <si>
    <t>1117741</t>
  </si>
  <si>
    <t>1117740</t>
  </si>
  <si>
    <t>1117739</t>
  </si>
  <si>
    <t>1117738</t>
  </si>
  <si>
    <t>1117737</t>
  </si>
  <si>
    <t>1117736</t>
  </si>
  <si>
    <t>1117735</t>
  </si>
  <si>
    <t>1117734</t>
  </si>
  <si>
    <t>1117733</t>
  </si>
  <si>
    <t>1117732</t>
  </si>
  <si>
    <t>1117731</t>
  </si>
  <si>
    <t>1117730</t>
  </si>
  <si>
    <t>1117729</t>
  </si>
  <si>
    <t>1117728</t>
  </si>
  <si>
    <t>1117727</t>
  </si>
  <si>
    <t>1117726</t>
  </si>
  <si>
    <t>1117725</t>
  </si>
  <si>
    <t>1117724</t>
  </si>
  <si>
    <t>1117723</t>
  </si>
  <si>
    <t>1117722</t>
  </si>
  <si>
    <t>1117721</t>
  </si>
  <si>
    <t>1117720</t>
  </si>
  <si>
    <t>1117719</t>
  </si>
  <si>
    <t>1117718</t>
  </si>
  <si>
    <t>1117717</t>
  </si>
  <si>
    <t>1117716</t>
  </si>
  <si>
    <t>1117715</t>
  </si>
  <si>
    <t>1117714</t>
  </si>
  <si>
    <t>1117713</t>
  </si>
  <si>
    <t>1117711</t>
  </si>
  <si>
    <t>1117710</t>
  </si>
  <si>
    <t>1117709</t>
  </si>
  <si>
    <t>1117708</t>
  </si>
  <si>
    <t>1117707</t>
  </si>
  <si>
    <t>1117706</t>
  </si>
  <si>
    <t>1117705</t>
  </si>
  <si>
    <t>1117704</t>
  </si>
  <si>
    <t>1117703</t>
  </si>
  <si>
    <t>1117702</t>
  </si>
  <si>
    <t>1117701</t>
  </si>
  <si>
    <t>1117700</t>
  </si>
  <si>
    <t>1117699</t>
  </si>
  <si>
    <t>1117698</t>
  </si>
  <si>
    <t>1117697</t>
  </si>
  <si>
    <t>1117696</t>
  </si>
  <si>
    <t>1117695</t>
  </si>
  <si>
    <t>1117694</t>
  </si>
  <si>
    <t>1117693</t>
  </si>
  <si>
    <t>1117692</t>
  </si>
  <si>
    <t>1117691</t>
  </si>
  <si>
    <t>https://fdf.dk/k26"</t>
  </si>
  <si>
    <t>1117690</t>
  </si>
  <si>
    <t>1117689</t>
  </si>
  <si>
    <t>1117688</t>
  </si>
  <si>
    <t>1117687</t>
  </si>
  <si>
    <t>1117686</t>
  </si>
  <si>
    <t>1117685</t>
  </si>
  <si>
    <t>1117684</t>
  </si>
  <si>
    <t>1117683</t>
  </si>
  <si>
    <t>1117682</t>
  </si>
  <si>
    <t>1117681</t>
  </si>
  <si>
    <t>1117680</t>
  </si>
  <si>
    <t>1117679</t>
  </si>
  <si>
    <t>1117678</t>
  </si>
  <si>
    <t>1117677</t>
  </si>
  <si>
    <t>1117676</t>
  </si>
  <si>
    <t>1117675</t>
  </si>
  <si>
    <t>1117674</t>
  </si>
  <si>
    <t>1117673</t>
  </si>
  <si>
    <t>1117672</t>
  </si>
  <si>
    <t>1117671</t>
  </si>
  <si>
    <t>1117670</t>
  </si>
  <si>
    <t>1117669</t>
  </si>
  <si>
    <t>1117668</t>
  </si>
  <si>
    <t>1117667</t>
  </si>
  <si>
    <t>1117666</t>
  </si>
  <si>
    <t>1117665</t>
  </si>
  <si>
    <t>1117664</t>
  </si>
  <si>
    <t>1117663</t>
  </si>
  <si>
    <t>1117662</t>
  </si>
  <si>
    <t>1117661</t>
  </si>
  <si>
    <t>1117660</t>
  </si>
  <si>
    <t>1117659</t>
  </si>
  <si>
    <t>1117658</t>
  </si>
  <si>
    <t>1117657</t>
  </si>
  <si>
    <t>1117656</t>
  </si>
  <si>
    <t>1117655</t>
  </si>
  <si>
    <t>1117654</t>
  </si>
  <si>
    <t>1117653</t>
  </si>
  <si>
    <t>1117652</t>
  </si>
  <si>
    <t>1117651</t>
  </si>
  <si>
    <t>1117650</t>
  </si>
  <si>
    <t>1117649</t>
  </si>
  <si>
    <t>1117648</t>
  </si>
  <si>
    <t>1117647</t>
  </si>
  <si>
    <t>1117646</t>
  </si>
  <si>
    <t>1117645</t>
  </si>
  <si>
    <t>1117644</t>
  </si>
  <si>
    <t>1117643</t>
  </si>
  <si>
    <t>1117642</t>
  </si>
  <si>
    <t>1117641</t>
  </si>
  <si>
    <t>1117640</t>
  </si>
  <si>
    <t>1117639</t>
  </si>
  <si>
    <t>1117638</t>
  </si>
  <si>
    <t>1117637</t>
  </si>
  <si>
    <t>1117636</t>
  </si>
  <si>
    <t>1117635</t>
  </si>
  <si>
    <t>1117634</t>
  </si>
  <si>
    <t>1117633</t>
  </si>
  <si>
    <t>1117632</t>
  </si>
  <si>
    <t>1117631</t>
  </si>
  <si>
    <t>1117630</t>
  </si>
  <si>
    <t>1117629</t>
  </si>
  <si>
    <t>1117628</t>
  </si>
  <si>
    <t>1117627</t>
  </si>
  <si>
    <t>1117626</t>
  </si>
  <si>
    <t>1117625</t>
  </si>
  <si>
    <t>1117624</t>
  </si>
  <si>
    <t>1117623</t>
  </si>
  <si>
    <t>1117622</t>
  </si>
  <si>
    <t>1117621</t>
  </si>
  <si>
    <t>1117620</t>
  </si>
  <si>
    <t>1117619</t>
  </si>
  <si>
    <t>1117618</t>
  </si>
  <si>
    <t>1117617</t>
  </si>
  <si>
    <t>1117616</t>
  </si>
  <si>
    <t>1117615</t>
  </si>
  <si>
    <t>1117614</t>
  </si>
  <si>
    <t>1117613</t>
  </si>
  <si>
    <t>1117612</t>
  </si>
  <si>
    <t>1117611</t>
  </si>
  <si>
    <t>1117610</t>
  </si>
  <si>
    <t>1117609</t>
  </si>
  <si>
    <t>1117608</t>
  </si>
  <si>
    <t>1117607</t>
  </si>
  <si>
    <t>1117606</t>
  </si>
  <si>
    <t>1117605</t>
  </si>
  <si>
    <t>1117604</t>
  </si>
  <si>
    <t>1117603</t>
  </si>
  <si>
    <t>1117602</t>
  </si>
  <si>
    <t>1117601</t>
  </si>
  <si>
    <t>1117600</t>
  </si>
  <si>
    <t>1117599</t>
  </si>
  <si>
    <t>1117598</t>
  </si>
  <si>
    <t>1117597</t>
  </si>
  <si>
    <t>1117596</t>
  </si>
  <si>
    <t>1117595</t>
  </si>
  <si>
    <t>1117594</t>
  </si>
  <si>
    <t>1117593</t>
  </si>
  <si>
    <t>1117592</t>
  </si>
  <si>
    <t>1117591</t>
  </si>
  <si>
    <t>1117590</t>
  </si>
  <si>
    <t>1117589</t>
  </si>
  <si>
    <t>1117588</t>
  </si>
  <si>
    <t>1117587</t>
  </si>
  <si>
    <t>1117586</t>
  </si>
  <si>
    <t>1117585</t>
  </si>
  <si>
    <t>1117584</t>
  </si>
  <si>
    <t>1117583</t>
  </si>
  <si>
    <t>1117582</t>
  </si>
  <si>
    <t>1117581</t>
  </si>
  <si>
    <t>1117580</t>
  </si>
  <si>
    <t>1117579</t>
  </si>
  <si>
    <t>1117578</t>
  </si>
  <si>
    <t>1117577</t>
  </si>
  <si>
    <t>1117576</t>
  </si>
  <si>
    <t>1117575</t>
  </si>
  <si>
    <t>1117574</t>
  </si>
  <si>
    <t>1117573</t>
  </si>
  <si>
    <t>1117572</t>
  </si>
  <si>
    <t>1117571</t>
  </si>
  <si>
    <t>1117570</t>
  </si>
  <si>
    <t>1117569</t>
  </si>
  <si>
    <t>1117568</t>
  </si>
  <si>
    <t>1117567</t>
  </si>
  <si>
    <t>1117566</t>
  </si>
  <si>
    <t>1117565</t>
  </si>
  <si>
    <t>1117564</t>
  </si>
  <si>
    <t>1117563</t>
  </si>
  <si>
    <t>1117562</t>
  </si>
  <si>
    <t>1117561</t>
  </si>
  <si>
    <t>1117560</t>
  </si>
  <si>
    <t>1117559</t>
  </si>
  <si>
    <t>1117558</t>
  </si>
  <si>
    <t>1117557</t>
  </si>
  <si>
    <t>1117556</t>
  </si>
  <si>
    <t>1117555</t>
  </si>
  <si>
    <t>1117554</t>
  </si>
  <si>
    <t>1117553</t>
  </si>
  <si>
    <t>1117552</t>
  </si>
  <si>
    <t>1117551</t>
  </si>
  <si>
    <t>1117550</t>
  </si>
  <si>
    <t>1117549</t>
  </si>
  <si>
    <t>1117548</t>
  </si>
  <si>
    <t>1117547</t>
  </si>
  <si>
    <t>1117546</t>
  </si>
  <si>
    <t>1117545</t>
  </si>
  <si>
    <t>1117544</t>
  </si>
  <si>
    <t>1117543</t>
  </si>
  <si>
    <t>1117542</t>
  </si>
  <si>
    <t>1117541</t>
  </si>
  <si>
    <t>1117540</t>
  </si>
  <si>
    <t>1117539</t>
  </si>
  <si>
    <t>1117538</t>
  </si>
  <si>
    <t>1117537</t>
  </si>
  <si>
    <t>1117536</t>
  </si>
  <si>
    <t>1117535</t>
  </si>
  <si>
    <t>1117534</t>
  </si>
  <si>
    <t>1117533</t>
  </si>
  <si>
    <t>1117532</t>
  </si>
  <si>
    <t>1117531</t>
  </si>
  <si>
    <t>1117530</t>
  </si>
  <si>
    <t>1117529</t>
  </si>
  <si>
    <t>1117528</t>
  </si>
  <si>
    <t>1117527</t>
  </si>
  <si>
    <t>1117526</t>
  </si>
  <si>
    <t>1117525</t>
  </si>
  <si>
    <t>1117524</t>
  </si>
  <si>
    <t>1117523</t>
  </si>
  <si>
    <t>1117522</t>
  </si>
  <si>
    <t>1117521</t>
  </si>
  <si>
    <t>1117520</t>
  </si>
  <si>
    <t>1117519</t>
  </si>
  <si>
    <t>1117518</t>
  </si>
  <si>
    <t>1117517</t>
  </si>
  <si>
    <t>1117516</t>
  </si>
  <si>
    <t>1117515</t>
  </si>
  <si>
    <t>1117514</t>
  </si>
  <si>
    <t>1117513</t>
  </si>
  <si>
    <t>1117512</t>
  </si>
  <si>
    <t>1117511</t>
  </si>
  <si>
    <t>1117510</t>
  </si>
  <si>
    <t>1117509</t>
  </si>
  <si>
    <t>1117508</t>
  </si>
  <si>
    <t>1117507</t>
  </si>
  <si>
    <t>1117506</t>
  </si>
  <si>
    <t>1117505</t>
  </si>
  <si>
    <t>1117504</t>
  </si>
  <si>
    <t>1117503</t>
  </si>
  <si>
    <t>1117502</t>
  </si>
  <si>
    <t>1117501</t>
  </si>
  <si>
    <t>1117500</t>
  </si>
  <si>
    <t>1117499</t>
  </si>
  <si>
    <t>1117498</t>
  </si>
  <si>
    <t>1117497</t>
  </si>
  <si>
    <t>1117496</t>
  </si>
  <si>
    <t>1117495</t>
  </si>
  <si>
    <t>1117494</t>
  </si>
  <si>
    <t>1117493</t>
  </si>
  <si>
    <t>1117492</t>
  </si>
  <si>
    <t>1117491</t>
  </si>
  <si>
    <t>1117485</t>
  </si>
  <si>
    <t>1117486</t>
  </si>
  <si>
    <t>1117487</t>
  </si>
  <si>
    <t>1117488</t>
  </si>
  <si>
    <t>1117489</t>
  </si>
  <si>
    <t>1117490</t>
  </si>
  <si>
    <t>1117484</t>
  </si>
  <si>
    <t>1117483</t>
  </si>
  <si>
    <t>https://fdf.dk/pandrup"</t>
  </si>
  <si>
    <t>1117482</t>
  </si>
  <si>
    <t>1117481</t>
  </si>
  <si>
    <t>1117480</t>
  </si>
  <si>
    <t>1117479</t>
  </si>
  <si>
    <t>1117478</t>
  </si>
  <si>
    <t>1117477</t>
  </si>
  <si>
    <t>1117476</t>
  </si>
  <si>
    <t>1117475</t>
  </si>
  <si>
    <t>1117474</t>
  </si>
  <si>
    <t>1117473</t>
  </si>
  <si>
    <t>1117472</t>
  </si>
  <si>
    <t>1117471</t>
  </si>
  <si>
    <t>2230142</t>
  </si>
  <si>
    <t xml:space="preserve">colourbox </t>
  </si>
  <si>
    <t>DIV. LAYOUT</t>
  </si>
  <si>
    <t>333436</t>
  </si>
  <si>
    <t>2230244</t>
  </si>
  <si>
    <t>106943</t>
  </si>
  <si>
    <t>2230140</t>
  </si>
  <si>
    <t>106704</t>
  </si>
  <si>
    <t>EuroCourse</t>
  </si>
  <si>
    <t>div. Layout</t>
  </si>
  <si>
    <t xml:space="preserve">råbalance </t>
  </si>
  <si>
    <t>efterposteringer</t>
  </si>
  <si>
    <t>i 1000 kr.</t>
  </si>
  <si>
    <t>Bevillinger medlemspuljen</t>
  </si>
  <si>
    <t>Kontounderkategori</t>
  </si>
  <si>
    <t>Bogføringstype</t>
  </si>
  <si>
    <t>Virksomhedsbogføringsgruppe</t>
  </si>
  <si>
    <t>Produktbogføringsgruppe</t>
  </si>
  <si>
    <t>Omkostningstypenr.</t>
  </si>
  <si>
    <t>Standardperiodiseringsskabelon</t>
  </si>
  <si>
    <t xml:space="preserve"> </t>
  </si>
  <si>
    <t>Salg</t>
  </si>
  <si>
    <t>INDLAND</t>
  </si>
  <si>
    <t>Køb</t>
  </si>
  <si>
    <t>UDLAND</t>
  </si>
  <si>
    <t>7.-8. klassekursus Limbjerggård uge 7</t>
  </si>
  <si>
    <t>7.-8. klassekursus Rysensteen uge 7</t>
  </si>
  <si>
    <t>Seniorvæbnerkursus Hardsyssel Påsken 2022</t>
  </si>
  <si>
    <t>SKS påsken 2022</t>
  </si>
  <si>
    <t>Seniorkursus Vork påsken 2022</t>
  </si>
  <si>
    <t>Seniorkursus Vork efterår 2022</t>
  </si>
  <si>
    <t>Orkesterkursus efterår 2022</t>
  </si>
  <si>
    <t>Fimcap Eurocourse Belgien</t>
  </si>
  <si>
    <t>Amsterdam City Challenge november 2022</t>
  </si>
  <si>
    <t>Globus Nepalrejse forår 2022</t>
  </si>
  <si>
    <t>Fimcap World Camp Botswana 2022</t>
  </si>
  <si>
    <t>Famlilielejr</t>
  </si>
  <si>
    <t>Kredsstartsmidler - kredsstart</t>
  </si>
  <si>
    <t>Lederen</t>
  </si>
  <si>
    <t>Mobiliseringsmidler - kredsstart</t>
  </si>
  <si>
    <t>Projektgruppe - kredsstart</t>
  </si>
  <si>
    <t>Rysensteen</t>
  </si>
  <si>
    <t>Seniorcity</t>
  </si>
  <si>
    <t>Seniorfestival</t>
  </si>
  <si>
    <t>Sletten</t>
  </si>
  <si>
    <t>Styregruppe - kredsstart</t>
  </si>
  <si>
    <t>Velkomstmidler - kredsstart</t>
  </si>
  <si>
    <t>Væbnermesterskabet</t>
  </si>
  <si>
    <t>Web</t>
  </si>
  <si>
    <t>Coronaøkonomi for 2020 estimeret</t>
  </si>
  <si>
    <t>Indtægter/besparelser</t>
  </si>
  <si>
    <t>Kompensation faste omkostninger</t>
  </si>
  <si>
    <t>Besparelser på møder og personaleudgifter</t>
  </si>
  <si>
    <t>Besparelser på vedligehold og øvrige ejendomsudgifter</t>
  </si>
  <si>
    <t>Sparet husleje på Vork ifm. kurser</t>
  </si>
  <si>
    <t>Tab/merforbrug</t>
  </si>
  <si>
    <t>Omsætningsnedgang 55 Nord</t>
  </si>
  <si>
    <t>Aflysninger og omsætningsnedgang Rysensteen</t>
  </si>
  <si>
    <t>Aflysninger og omsætningsnedgang Sletten</t>
  </si>
  <si>
    <t>heraf mistet husleje ifm. forbundets egne kurser</t>
  </si>
  <si>
    <t>Aflyste kurser</t>
  </si>
  <si>
    <t>Aflyste stævner og lejre</t>
  </si>
  <si>
    <t>Manglende forpagtningsafgift fra Vork</t>
  </si>
  <si>
    <t>Meforbrug på landsmøde</t>
  </si>
  <si>
    <t>Merforbrug revision</t>
  </si>
  <si>
    <t>Coronatab Netto</t>
  </si>
  <si>
    <t>Rækkenavne</t>
  </si>
  <si>
    <t>Sum af Beløb</t>
  </si>
  <si>
    <t>STABEN</t>
  </si>
  <si>
    <t>Hovedtotal</t>
  </si>
  <si>
    <t>Efterregulering Staben</t>
  </si>
  <si>
    <t>Kompensation for faste omkostninger</t>
  </si>
  <si>
    <t>Ansøgningsbeløb</t>
  </si>
  <si>
    <t>Revisorregning</t>
  </si>
  <si>
    <t>Kompensation for revision af ansøgning</t>
  </si>
  <si>
    <t>Netto</t>
  </si>
  <si>
    <t>55 Nords budgetter for 21-25. fra Generalforsamling 25. marts 2021</t>
  </si>
  <si>
    <t>Budgetoverslag online landsmøde</t>
  </si>
  <si>
    <t>Version 6.november 2020</t>
  </si>
  <si>
    <t>pris</t>
  </si>
  <si>
    <t>antal</t>
  </si>
  <si>
    <t>Deltagerafgift (ekskl. gebyrer)</t>
  </si>
  <si>
    <t>Mediebudgettet</t>
  </si>
  <si>
    <t>Afbestillingsgebyr Nyborg Strand</t>
  </si>
  <si>
    <t>Overnatning og forplejning mv.</t>
  </si>
  <si>
    <t>Teknik AV-center mv.</t>
  </si>
  <si>
    <t>Administration</t>
  </si>
  <si>
    <t>Kørsel frivillige m.fl.</t>
  </si>
  <si>
    <t>Diverse (lakridser og blomster mv.)</t>
  </si>
  <si>
    <t>Udgifter i alt</t>
  </si>
  <si>
    <t>Oprindeligt landsmødebudget</t>
  </si>
  <si>
    <t>Korrigeret budget HB-november 2019</t>
  </si>
  <si>
    <t>Kurser 2020 - specifikation til budgetopfølgning*</t>
  </si>
  <si>
    <t>Kurser 2019</t>
  </si>
  <si>
    <t>7.-8. kl. kursus Rys.</t>
  </si>
  <si>
    <t>7.-8. kl. kursus Lim.</t>
  </si>
  <si>
    <t>7.-8. kl. kursus</t>
  </si>
  <si>
    <t>HE seniorvæb.</t>
  </si>
  <si>
    <t>Lederkursus</t>
  </si>
  <si>
    <t>SKS påsken</t>
  </si>
  <si>
    <t>seniorkursus Vork påsken</t>
  </si>
  <si>
    <t>Instruktørudd.</t>
  </si>
  <si>
    <t>LL-kursus</t>
  </si>
  <si>
    <t>Godik Toiletter</t>
  </si>
  <si>
    <t>Bisgaard Teltudlejning</t>
  </si>
  <si>
    <t>ATHENAS Chris M Donald</t>
  </si>
  <si>
    <t>Kan nok hensættes og bruges næste år.</t>
  </si>
  <si>
    <t>FlexMinds Aps vest</t>
  </si>
  <si>
    <t>FlexMinds Aps øst</t>
  </si>
  <si>
    <t>Seniorvæbner MSE</t>
  </si>
  <si>
    <t>SKS efterår</t>
  </si>
  <si>
    <t>Seniorkursus Vork Efterår</t>
  </si>
  <si>
    <t>Orkesterkursus</t>
  </si>
  <si>
    <t>træklatrekursus Sletten</t>
  </si>
  <si>
    <t>Klatrekursus</t>
  </si>
  <si>
    <t>revurderin gkano 5/9</t>
  </si>
  <si>
    <t>turkanoinst. Bagsværd</t>
  </si>
  <si>
    <t xml:space="preserve">Landsorkestersamling </t>
  </si>
  <si>
    <t>Landsorkestersamling</t>
  </si>
  <si>
    <t>Sangskriverkursus</t>
  </si>
  <si>
    <t>total</t>
  </si>
  <si>
    <t>*negative tal dækker over et overskud</t>
  </si>
  <si>
    <t>Stævner og lejre 2020 - specifikation til budgetopfølgning#</t>
  </si>
  <si>
    <t>FAMILELEJR</t>
  </si>
  <si>
    <t>SENIORCITY</t>
  </si>
  <si>
    <t>VÆBNERMESTERSKAB</t>
  </si>
  <si>
    <t>#negative tal dækker over et overskud</t>
  </si>
  <si>
    <t>Kontingent</t>
  </si>
  <si>
    <t>Antal medlemmer</t>
  </si>
  <si>
    <t>kontingentsats</t>
  </si>
  <si>
    <t>Indtægt</t>
  </si>
  <si>
    <t>Rys.</t>
  </si>
  <si>
    <t>Særlige pantebreve</t>
  </si>
  <si>
    <t>Skyldig Udbytte 55 Nord</t>
  </si>
  <si>
    <t>Kørsel og forpl. medarb.</t>
  </si>
  <si>
    <t>IT  N/V o/3000 kr.</t>
  </si>
  <si>
    <t>300000</t>
  </si>
  <si>
    <t>Fritidsklub</t>
  </si>
  <si>
    <t>Familie FDF</t>
  </si>
  <si>
    <t>UDVALGSBEVILLINGER</t>
  </si>
  <si>
    <t>320020</t>
  </si>
  <si>
    <t>Kredspilot/udvikling/fucus</t>
  </si>
  <si>
    <t>320000..321199</t>
  </si>
  <si>
    <t>381999</t>
  </si>
  <si>
    <t>300000..381999</t>
  </si>
  <si>
    <t>Slag af div.</t>
  </si>
  <si>
    <t>Forsendelse u/moms</t>
  </si>
  <si>
    <t>K Rys</t>
  </si>
  <si>
    <t>D Sletten</t>
  </si>
  <si>
    <t>Kontorarikler m.v. m/moms</t>
  </si>
  <si>
    <t>500010</t>
  </si>
  <si>
    <t>511198</t>
  </si>
  <si>
    <t>REJSEUDLIGNING I ALT</t>
  </si>
  <si>
    <t>510000..511198</t>
  </si>
  <si>
    <t>500010..511199</t>
  </si>
  <si>
    <t>Henlæggelser missionsarbejde</t>
  </si>
  <si>
    <t>Depositum, kælderen</t>
  </si>
  <si>
    <t>Konto 11724434 dankort SB</t>
  </si>
  <si>
    <t>MobilPay SKS 11802486</t>
  </si>
  <si>
    <t>Mobil Pay Rys.11624820</t>
  </si>
  <si>
    <t>MobilPay Myanmar</t>
  </si>
  <si>
    <t>MobilPay Vork 12209207</t>
  </si>
  <si>
    <t>Mobil Pay Sletten</t>
  </si>
  <si>
    <t>TVR-PULJEN</t>
  </si>
  <si>
    <t>TVR-PULJEN I ALT</t>
  </si>
  <si>
    <t>Intern varekøb 55 gr. Nord</t>
  </si>
  <si>
    <t>Crux forkyndelsesgeocaching</t>
  </si>
  <si>
    <t>Efterposteringer</t>
  </si>
  <si>
    <t>PROJEKT FDF</t>
  </si>
  <si>
    <t>310199</t>
  </si>
  <si>
    <t>PROJEKT FDF I ALT</t>
  </si>
  <si>
    <t>310000..310199</t>
  </si>
  <si>
    <t>330000</t>
  </si>
  <si>
    <t>330010</t>
  </si>
  <si>
    <t>330020</t>
  </si>
  <si>
    <t>330030</t>
  </si>
  <si>
    <t>330040</t>
  </si>
  <si>
    <t>330050</t>
  </si>
  <si>
    <t>330060</t>
  </si>
  <si>
    <t>330070</t>
  </si>
  <si>
    <t>330080</t>
  </si>
  <si>
    <t>331199</t>
  </si>
  <si>
    <t>330000..331199</t>
  </si>
  <si>
    <t>441270</t>
  </si>
  <si>
    <t>Giv et år div. lønandele</t>
  </si>
  <si>
    <t>Leje af kældelokale</t>
  </si>
  <si>
    <t>Advokatbistand</t>
  </si>
  <si>
    <t>740090</t>
  </si>
  <si>
    <t>PTK Finland EF</t>
  </si>
  <si>
    <t>Rådighed, IU sekr. DJF</t>
  </si>
  <si>
    <t>Mobil Pay 11802524</t>
  </si>
  <si>
    <t>Familier hjælper familier</t>
  </si>
  <si>
    <t>Forsikring af udstyr på kurser</t>
  </si>
  <si>
    <t>31.12.2016</t>
  </si>
  <si>
    <t>Efterpostering</t>
  </si>
  <si>
    <t>HANDLINGSPLAN</t>
  </si>
  <si>
    <t>Oplevelsesåret</t>
  </si>
  <si>
    <t>Udviklingsmål</t>
  </si>
  <si>
    <t>Kredsen i centrum/Kirke</t>
  </si>
  <si>
    <t>HANDLINGSPLAN I ALT</t>
  </si>
  <si>
    <t>Jagten, møder</t>
  </si>
  <si>
    <t>Jagten, arrangement</t>
  </si>
  <si>
    <t>Portalen udvikling</t>
  </si>
  <si>
    <t>Vandafgift</t>
  </si>
  <si>
    <t>undersøges</t>
  </si>
  <si>
    <t>MobilPay P-plads</t>
  </si>
  <si>
    <t>LL armbånd 11802494</t>
  </si>
  <si>
    <t>FDF sangbogen</t>
  </si>
  <si>
    <t>Folkekirkens Konfirmand Center</t>
  </si>
  <si>
    <t>160090</t>
  </si>
  <si>
    <t>160150</t>
  </si>
  <si>
    <t>210115</t>
  </si>
  <si>
    <t>310140</t>
  </si>
  <si>
    <t>SILLE OG SIGURD I ALT</t>
  </si>
  <si>
    <t>310000..310140</t>
  </si>
  <si>
    <t>Myanmar</t>
  </si>
  <si>
    <t>Udv.mål kommune</t>
  </si>
  <si>
    <t>330199</t>
  </si>
  <si>
    <t>330000..330199</t>
  </si>
  <si>
    <t>EF, formandsskabet</t>
  </si>
  <si>
    <t>Kontorhold m/moms</t>
  </si>
  <si>
    <t>DRIFT AF EJENDOMME OG GRUNDE</t>
  </si>
  <si>
    <t>DRIFT AF EJENDOMME</t>
  </si>
  <si>
    <t>400005</t>
  </si>
  <si>
    <t>400010</t>
  </si>
  <si>
    <t>400020</t>
  </si>
  <si>
    <t>400030</t>
  </si>
  <si>
    <t>400040</t>
  </si>
  <si>
    <t>400050</t>
  </si>
  <si>
    <t>400060</t>
  </si>
  <si>
    <t>400070</t>
  </si>
  <si>
    <t>400080</t>
  </si>
  <si>
    <t>400198</t>
  </si>
  <si>
    <t>400005..400198</t>
  </si>
  <si>
    <t>Rys</t>
  </si>
  <si>
    <t>rys</t>
  </si>
  <si>
    <t>sletten</t>
  </si>
  <si>
    <t>441700..441899</t>
  </si>
  <si>
    <t>510999</t>
  </si>
  <si>
    <t>510000..510999</t>
  </si>
  <si>
    <t>511000</t>
  </si>
  <si>
    <t>REJSEUDLIGNING</t>
  </si>
  <si>
    <t>511000..511198</t>
  </si>
  <si>
    <t>640010</t>
  </si>
  <si>
    <t>640099</t>
  </si>
  <si>
    <t>640000..640099</t>
  </si>
  <si>
    <t>670000</t>
  </si>
  <si>
    <t>RESULTAT FØR HENLÆGGELSER</t>
  </si>
  <si>
    <t>200000..670000</t>
  </si>
  <si>
    <t>670298</t>
  </si>
  <si>
    <t>670200..670298</t>
  </si>
  <si>
    <t>Konto 11674429</t>
  </si>
  <si>
    <t>Bruges ikke</t>
  </si>
  <si>
    <t>Salg af materialer til udvalg</t>
  </si>
  <si>
    <t>Drift af toilethuse</t>
  </si>
  <si>
    <t>Varekøb</t>
  </si>
  <si>
    <t>Legerdatabase app.</t>
  </si>
  <si>
    <t>Identitet</t>
  </si>
  <si>
    <t>Kredsen i centrum</t>
  </si>
  <si>
    <t>Fremstillingsomk. m/moms</t>
  </si>
  <si>
    <t>Arrangementer, Rys.</t>
  </si>
  <si>
    <t>Salg af kopier</t>
  </si>
  <si>
    <t>Tab på forsikringssager</t>
  </si>
  <si>
    <t>740060</t>
  </si>
  <si>
    <t>Kommende arrangementer</t>
  </si>
  <si>
    <t>DB aftalekonto 3001657631</t>
  </si>
  <si>
    <t>Netopsparing 3345686037</t>
  </si>
  <si>
    <t>Varesalg på LL</t>
  </si>
  <si>
    <t>FDF Nørager</t>
  </si>
  <si>
    <t>Deltagerafgift, øvrige</t>
  </si>
  <si>
    <t>Deltagerafgift, børn</t>
  </si>
  <si>
    <t>Småanskaffelser</t>
  </si>
  <si>
    <t>Programudg.</t>
  </si>
  <si>
    <t>Video</t>
  </si>
  <si>
    <t>Anden PR</t>
  </si>
  <si>
    <t>Refusionsberettigede omk.</t>
  </si>
  <si>
    <t>Ej refusionsberettigede omk.</t>
  </si>
  <si>
    <t>Rejsegodtgørelse til deltagere</t>
  </si>
  <si>
    <t>Rejsegodtgørelse til medarb.</t>
  </si>
  <si>
    <t>Afrundet</t>
  </si>
  <si>
    <t>Familielejr/matr. og program</t>
  </si>
  <si>
    <t>FDF Fødselsdag/Forsik.estat.</t>
  </si>
  <si>
    <t>Kredslederhåndbog</t>
  </si>
  <si>
    <t>FDF Familie</t>
  </si>
  <si>
    <t>Euroclass</t>
  </si>
  <si>
    <t>Portalen</t>
  </si>
  <si>
    <t>2013-023</t>
  </si>
  <si>
    <t>Leje af kontormaskiner</t>
  </si>
  <si>
    <t>rys.</t>
  </si>
  <si>
    <t>31.12.2012</t>
  </si>
  <si>
    <t>LD-musik udv.</t>
  </si>
  <si>
    <t>Familielejr på sletten 2012</t>
  </si>
  <si>
    <t>FDF Fødselsdag</t>
  </si>
  <si>
    <t>Fremstillingsomk. Fritidsklub</t>
  </si>
  <si>
    <t>Forsendelse Familie FDF</t>
  </si>
  <si>
    <t>Redaktionsomk. Lederlse</t>
  </si>
  <si>
    <t>Uddannelsesmatr.</t>
  </si>
  <si>
    <t>HP synlighed</t>
  </si>
  <si>
    <t>Time Out</t>
  </si>
  <si>
    <t>Abonnement Lederen</t>
  </si>
  <si>
    <t>Fremstillings-/driftsomk. u/m</t>
  </si>
  <si>
    <t>Forsendelse m/moms</t>
  </si>
  <si>
    <t>Administrationsomk.</t>
  </si>
  <si>
    <t>RYS</t>
  </si>
  <si>
    <t>Indtægt på indstillede kredse</t>
  </si>
  <si>
    <t>Kredsstartaktiviteter</t>
  </si>
  <si>
    <t>Prioritetsgæld Nykredit</t>
  </si>
  <si>
    <t>Aktivitetshæfter til kredse</t>
  </si>
  <si>
    <t>Matr. til Zambiakasser</t>
  </si>
  <si>
    <t>Ny</t>
  </si>
  <si>
    <t>Medlemmer u/landsfor.</t>
  </si>
  <si>
    <t>LL-2011</t>
  </si>
  <si>
    <t>seniorcity</t>
  </si>
  <si>
    <t>staben</t>
  </si>
  <si>
    <t>Multimiedieskat</t>
  </si>
  <si>
    <t>Inspirationsboble/HP synlighed</t>
  </si>
  <si>
    <t>Proj.det gode møde/Identitet</t>
  </si>
  <si>
    <t>Projekt leg</t>
  </si>
  <si>
    <t>Kommunikationsstrategi</t>
  </si>
  <si>
    <t>Informationsmatr.</t>
  </si>
  <si>
    <t>Debatoplæg/Identitet</t>
  </si>
  <si>
    <t>Euro Contact/Course</t>
  </si>
  <si>
    <t>Euroforum</t>
  </si>
  <si>
    <t>Lejeindtægter, KFUM Rys.</t>
  </si>
  <si>
    <t>Kælderlokale, leje</t>
  </si>
  <si>
    <t>Afskrivninger Rysensteen</t>
  </si>
  <si>
    <t>Campingkort</t>
  </si>
  <si>
    <t>It</t>
  </si>
  <si>
    <t>Adm øvrige</t>
  </si>
  <si>
    <t>Staben LD</t>
  </si>
  <si>
    <t>Øvrige</t>
  </si>
  <si>
    <t>Periode-budget</t>
  </si>
  <si>
    <t>Opdateret årsestimat</t>
  </si>
  <si>
    <t>HB- og FU-møder mv.</t>
  </si>
  <si>
    <t>Værdiregulering af aktier i FDF og KFUM-spejdernes Forlag</t>
  </si>
  <si>
    <t>Medlemsservice</t>
  </si>
  <si>
    <t>1. kvartal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</si>
</sst>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#,##0_ ;[Red]\-#,##0\ "/>
    <numFmt numFmtId="166" formatCode="#,##0.00_ ;[Red]\-#,##0.00\ "/>
    <numFmt numFmtId="167" formatCode="0.0"/>
  </numFmts>
  <fonts count="97"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name val="Arial"/>
      <family val="2"/>
    </font>
    <font>
      <b/>
      <sz val="13"/>
      <color indexed="8"/>
      <name val="Humanst521 BT"/>
      <family val="2"/>
    </font>
    <font>
      <sz val="8"/>
      <name val="Arial"/>
      <family val="2"/>
    </font>
    <font>
      <i/>
      <sz val="1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4"/>
      <color theme="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i/>
      <sz val="10"/>
      <color theme="0"/>
      <name val="Arial"/>
      <family val="2"/>
    </font>
    <font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8"/>
      <color indexed="8"/>
      <name val="Arial"/>
      <family val="2"/>
    </font>
    <font>
      <b/>
      <sz val="14"/>
      <color theme="0"/>
      <name val="Work Sans"/>
      <family val="3"/>
    </font>
    <font>
      <sz val="11"/>
      <color indexed="8"/>
      <name val="Work Sans"/>
      <family val="3"/>
    </font>
    <font>
      <b/>
      <sz val="10"/>
      <name val="Work Sans"/>
      <family val="3"/>
    </font>
    <font>
      <sz val="10"/>
      <name val="Work Sans"/>
      <family val="3"/>
    </font>
    <font>
      <i/>
      <sz val="8"/>
      <name val="Work Sans"/>
      <family val="3"/>
    </font>
    <font>
      <b/>
      <sz val="12"/>
      <name val="Work Sans"/>
      <family val="3"/>
    </font>
    <font>
      <sz val="10"/>
      <color indexed="8"/>
      <name val="Work Sans"/>
      <family val="3"/>
    </font>
    <font>
      <b/>
      <sz val="8"/>
      <name val="Work Sans"/>
      <family val="3"/>
    </font>
    <font>
      <b/>
      <i/>
      <sz val="10"/>
      <color indexed="8"/>
      <name val="Work Sans"/>
      <family val="3"/>
    </font>
    <font>
      <b/>
      <sz val="11"/>
      <color indexed="8"/>
      <name val="Work Sans"/>
      <family val="3"/>
    </font>
    <font>
      <i/>
      <sz val="9"/>
      <color indexed="8"/>
      <name val="Work Sans"/>
      <family val="3"/>
    </font>
    <font>
      <sz val="9"/>
      <color indexed="8"/>
      <name val="Work Sans"/>
      <family val="3"/>
    </font>
    <font>
      <b/>
      <sz val="10"/>
      <color indexed="8"/>
      <name val="Work Sans"/>
      <family val="3"/>
    </font>
    <font>
      <b/>
      <sz val="10"/>
      <color theme="0"/>
      <name val="Work Sans"/>
      <family val="3"/>
    </font>
    <font>
      <i/>
      <sz val="10"/>
      <color indexed="8"/>
      <name val="Work Sans"/>
      <family val="3"/>
    </font>
    <font>
      <b/>
      <sz val="14"/>
      <name val="Work Sans"/>
      <family val="3"/>
    </font>
    <font>
      <b/>
      <sz val="14"/>
      <color theme="1"/>
      <name val="Work Sans"/>
      <family val="3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i/>
      <sz val="9"/>
      <color indexed="8"/>
      <name val="Arial"/>
      <family val="2"/>
    </font>
    <font>
      <b/>
      <sz val="14"/>
      <color indexed="8"/>
      <name val="Work Sans"/>
      <family val="3"/>
    </font>
    <font>
      <i/>
      <sz val="8"/>
      <color indexed="8"/>
      <name val="Work Sans"/>
      <family val="3"/>
    </font>
    <font>
      <sz val="10"/>
      <color indexed="8"/>
      <name val="Verdana"/>
      <family val="2"/>
    </font>
    <font>
      <sz val="11"/>
      <color rgb="FF000000"/>
      <name val="Calibri"/>
      <family val="2"/>
    </font>
    <font>
      <b/>
      <sz val="9"/>
      <color indexed="8"/>
      <name val="Humanst521 BT"/>
      <family val="2"/>
    </font>
    <font>
      <sz val="9"/>
      <color indexed="8"/>
      <name val="Humanst521 BT"/>
      <family val="2"/>
    </font>
    <font>
      <b/>
      <sz val="12"/>
      <color indexed="8"/>
      <name val="Work Sans"/>
      <family val="3"/>
    </font>
    <font>
      <b/>
      <u/>
      <sz val="11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i/>
      <sz val="10"/>
      <name val="Work Sans"/>
      <family val="3"/>
    </font>
    <font>
      <sz val="10"/>
      <color theme="1"/>
      <name val="Work Sans"/>
      <family val="3"/>
    </font>
    <font>
      <b/>
      <sz val="10"/>
      <color theme="1"/>
      <name val="Work Sans"/>
      <family val="3"/>
    </font>
    <font>
      <i/>
      <sz val="10"/>
      <color theme="1"/>
      <name val="Work Sans"/>
      <family val="3"/>
    </font>
    <font>
      <b/>
      <sz val="11"/>
      <name val="Calibri"/>
      <family val="2"/>
      <scheme val="minor"/>
    </font>
    <font>
      <sz val="10"/>
      <color rgb="FFFF0000"/>
      <name val="Work Sans"/>
      <family val="3"/>
    </font>
    <font>
      <b/>
      <sz val="10"/>
      <name val="Work Sans"/>
    </font>
    <font>
      <b/>
      <sz val="10"/>
      <color indexed="8"/>
      <name val="Work Sans"/>
    </font>
  </fonts>
  <fills count="8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rgb="FFD5A6BD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99CCFF"/>
      </patternFill>
    </fill>
    <fill>
      <patternFill patternType="solid">
        <fgColor theme="0" tint="-4.9989318521683403E-2"/>
        <bgColor rgb="FFCC99FF"/>
      </patternFill>
    </fill>
    <fill>
      <patternFill patternType="solid">
        <fgColor theme="9" tint="0.79998168889431442"/>
        <bgColor rgb="FFFFCC99"/>
      </patternFill>
    </fill>
    <fill>
      <patternFill patternType="solid">
        <fgColor theme="0" tint="-0.14999847407452621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rgb="FFFFCC99"/>
      </patternFill>
    </fill>
    <fill>
      <patternFill patternType="solid">
        <fgColor theme="0" tint="-0.249977111117893"/>
        <bgColor rgb="FFFFCC99"/>
      </patternFill>
    </fill>
    <fill>
      <patternFill patternType="solid">
        <fgColor rgb="FFFFFF00"/>
        <bgColor rgb="FFFFCC99"/>
      </patternFill>
    </fill>
    <fill>
      <patternFill patternType="solid">
        <fgColor theme="0" tint="-0.34998626667073579"/>
        <bgColor rgb="FFFFCC99"/>
      </patternFill>
    </fill>
    <fill>
      <patternFill patternType="solid">
        <fgColor theme="4" tint="0.59999389629810485"/>
        <bgColor rgb="FFFFCC99"/>
      </patternFill>
    </fill>
    <fill>
      <patternFill patternType="solid">
        <fgColor theme="9" tint="0.39997558519241921"/>
        <bgColor rgb="FFFFCC99"/>
      </patternFill>
    </fill>
    <fill>
      <patternFill patternType="solid">
        <fgColor theme="6" tint="0.59999389629810485"/>
        <bgColor rgb="FFB6D7A8"/>
      </patternFill>
    </fill>
    <fill>
      <patternFill patternType="solid">
        <fgColor theme="0" tint="-0.249977111117893"/>
        <bgColor rgb="FFB6D7A8"/>
      </patternFill>
    </fill>
    <fill>
      <patternFill patternType="solid">
        <fgColor rgb="FFFFFF00"/>
        <bgColor rgb="FFB6D7A8"/>
      </patternFill>
    </fill>
    <fill>
      <patternFill patternType="solid">
        <fgColor theme="0" tint="-0.34998626667073579"/>
        <bgColor rgb="FFB6D7A8"/>
      </patternFill>
    </fill>
    <fill>
      <patternFill patternType="solid">
        <fgColor theme="4" tint="0.59999389629810485"/>
        <bgColor rgb="FFB6D7A8"/>
      </patternFill>
    </fill>
    <fill>
      <patternFill patternType="solid">
        <fgColor theme="9" tint="0.39997558519241921"/>
        <bgColor rgb="FFB6D7A8"/>
      </patternFill>
    </fill>
    <fill>
      <patternFill patternType="solid">
        <fgColor theme="5" tint="0.59999389629810485"/>
        <bgColor rgb="FF9FC5E8"/>
      </patternFill>
    </fill>
    <fill>
      <patternFill patternType="solid">
        <fgColor theme="4" tint="0.39997558519241921"/>
        <bgColor rgb="FFFFCC99"/>
      </patternFill>
    </fill>
    <fill>
      <patternFill patternType="solid">
        <fgColor theme="4" tint="0.39997558519241921"/>
        <bgColor rgb="FFB6D7A8"/>
      </patternFill>
    </fill>
    <fill>
      <patternFill patternType="solid">
        <fgColor theme="6" tint="0.39997558519241921"/>
        <bgColor rgb="FFFFCC99"/>
      </patternFill>
    </fill>
    <fill>
      <patternFill patternType="solid">
        <fgColor theme="6" tint="0.39997558519241921"/>
        <bgColor rgb="FFB6D7A8"/>
      </patternFill>
    </fill>
    <fill>
      <patternFill patternType="solid">
        <fgColor rgb="FFFFFF00"/>
        <bgColor rgb="FF99CCFF"/>
      </patternFill>
    </fill>
    <fill>
      <patternFill patternType="solid">
        <fgColor rgb="FFFFFF00"/>
        <bgColor rgb="FFCC99FF"/>
      </patternFill>
    </fill>
    <fill>
      <patternFill patternType="solid">
        <fgColor rgb="FFFF0000"/>
        <bgColor rgb="FFB6D7A8"/>
      </patternFill>
    </fill>
    <fill>
      <patternFill patternType="solid">
        <fgColor theme="9" tint="0.59999389629810485"/>
        <bgColor rgb="FFFFCC99"/>
      </patternFill>
    </fill>
    <fill>
      <patternFill patternType="solid">
        <fgColor theme="9" tint="0.59999389629810485"/>
        <bgColor rgb="FFB6D7A8"/>
      </patternFill>
    </fill>
    <fill>
      <patternFill patternType="solid">
        <fgColor theme="1"/>
        <bgColor rgb="FFFFCC99"/>
      </patternFill>
    </fill>
    <fill>
      <patternFill patternType="solid">
        <fgColor theme="1"/>
        <bgColor rgb="FFB6D7A8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AFC6D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82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0" borderId="0" applyNumberFormat="0" applyFill="0" applyBorder="0" applyAlignment="0" applyProtection="0"/>
    <xf numFmtId="0" fontId="25" fillId="20" borderId="2" applyNumberFormat="0" applyFont="0" applyAlignment="0" applyProtection="0"/>
    <xf numFmtId="0" fontId="25" fillId="20" borderId="2" applyNumberFormat="0" applyFont="0" applyAlignment="0" applyProtection="0"/>
    <xf numFmtId="0" fontId="25" fillId="20" borderId="2" applyNumberFormat="0" applyFont="0" applyAlignment="0" applyProtection="0"/>
    <xf numFmtId="0" fontId="28" fillId="21" borderId="3" applyNumberFormat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28" borderId="0" applyNumberFormat="0" applyBorder="0" applyAlignment="0" applyProtection="0"/>
    <xf numFmtId="0" fontId="31" fillId="29" borderId="3" applyNumberFormat="0" applyAlignment="0" applyProtection="0"/>
    <xf numFmtId="164" fontId="11" fillId="0" borderId="0" applyFont="0" applyFill="0" applyBorder="0" applyAlignment="0" applyProtection="0"/>
    <xf numFmtId="0" fontId="32" fillId="30" borderId="4" applyNumberFormat="0" applyAlignment="0" applyProtection="0"/>
    <xf numFmtId="0" fontId="33" fillId="31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34" fillId="21" borderId="5" applyNumberFormat="0" applyAlignment="0" applyProtection="0"/>
    <xf numFmtId="0" fontId="13" fillId="0" borderId="0" applyNumberFormat="0" applyFill="0" applyBorder="0" applyAlignment="0"/>
    <xf numFmtId="0" fontId="35" fillId="0" borderId="6" applyNumberFormat="0" applyFill="0" applyAlignment="0" applyProtection="0"/>
    <xf numFmtId="0" fontId="3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41" fillId="32" borderId="0" applyNumberFormat="0" applyBorder="0" applyAlignment="0" applyProtection="0"/>
    <xf numFmtId="0" fontId="49" fillId="0" borderId="0"/>
    <xf numFmtId="0" fontId="50" fillId="0" borderId="0" applyNumberFormat="0" applyFill="0" applyBorder="0" applyAlignment="0" applyProtection="0"/>
    <xf numFmtId="0" fontId="10" fillId="20" borderId="2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9" fillId="20" borderId="2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8" fillId="20" borderId="2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7" fillId="20" borderId="2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6" fillId="20" borderId="2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20" borderId="2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20" borderId="2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3" fillId="20" borderId="2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8" fillId="0" borderId="0"/>
  </cellStyleXfs>
  <cellXfs count="618">
    <xf numFmtId="0" fontId="0" fillId="0" borderId="0" xfId="0"/>
    <xf numFmtId="4" fontId="0" fillId="0" borderId="0" xfId="0" applyNumberFormat="1"/>
    <xf numFmtId="164" fontId="0" fillId="0" borderId="0" xfId="57" applyFont="1"/>
    <xf numFmtId="3" fontId="0" fillId="0" borderId="0" xfId="0" applyNumberFormat="1"/>
    <xf numFmtId="3" fontId="15" fillId="0" borderId="0" xfId="0" applyNumberFormat="1" applyFont="1"/>
    <xf numFmtId="0" fontId="16" fillId="0" borderId="0" xfId="0" applyFont="1"/>
    <xf numFmtId="4" fontId="16" fillId="0" borderId="0" xfId="0" applyNumberFormat="1" applyFont="1"/>
    <xf numFmtId="0" fontId="16" fillId="0" borderId="0" xfId="0" applyFont="1" applyAlignment="1">
      <alignment horizontal="center"/>
    </xf>
    <xf numFmtId="4" fontId="17" fillId="0" borderId="0" xfId="0" applyNumberFormat="1" applyFont="1"/>
    <xf numFmtId="0" fontId="11" fillId="0" borderId="0" xfId="0" applyFont="1"/>
    <xf numFmtId="14" fontId="0" fillId="0" borderId="0" xfId="0" applyNumberFormat="1"/>
    <xf numFmtId="14" fontId="11" fillId="0" borderId="0" xfId="0" applyNumberFormat="1" applyFont="1"/>
    <xf numFmtId="4" fontId="11" fillId="0" borderId="0" xfId="0" applyNumberFormat="1" applyFont="1"/>
    <xf numFmtId="3" fontId="11" fillId="0" borderId="0" xfId="0" applyNumberFormat="1" applyFont="1"/>
    <xf numFmtId="0" fontId="0" fillId="33" borderId="0" xfId="0" applyFill="1"/>
    <xf numFmtId="3" fontId="0" fillId="33" borderId="0" xfId="0" applyNumberFormat="1" applyFill="1"/>
    <xf numFmtId="3" fontId="0" fillId="34" borderId="0" xfId="0" applyNumberFormat="1" applyFill="1"/>
    <xf numFmtId="4" fontId="0" fillId="33" borderId="0" xfId="0" applyNumberFormat="1" applyFill="1"/>
    <xf numFmtId="4" fontId="0" fillId="34" borderId="0" xfId="0" applyNumberFormat="1" applyFill="1"/>
    <xf numFmtId="0" fontId="0" fillId="34" borderId="0" xfId="0" applyFill="1"/>
    <xf numFmtId="4" fontId="0" fillId="35" borderId="0" xfId="0" applyNumberFormat="1" applyFill="1"/>
    <xf numFmtId="3" fontId="0" fillId="37" borderId="0" xfId="0" applyNumberFormat="1" applyFill="1"/>
    <xf numFmtId="3" fontId="0" fillId="38" borderId="0" xfId="0" applyNumberFormat="1" applyFill="1"/>
    <xf numFmtId="0" fontId="18" fillId="0" borderId="0" xfId="0" applyFont="1"/>
    <xf numFmtId="0" fontId="19" fillId="39" borderId="0" xfId="0" applyFont="1" applyFill="1" applyAlignment="1">
      <alignment horizontal="left" wrapText="1"/>
    </xf>
    <xf numFmtId="0" fontId="20" fillId="0" borderId="0" xfId="0" applyFont="1" applyAlignment="1">
      <alignment horizontal="left"/>
    </xf>
    <xf numFmtId="4" fontId="20" fillId="0" borderId="0" xfId="0" applyNumberFormat="1" applyFont="1" applyAlignment="1">
      <alignment horizontal="right"/>
    </xf>
    <xf numFmtId="4" fontId="20" fillId="33" borderId="0" xfId="0" applyNumberFormat="1" applyFont="1" applyFill="1" applyAlignment="1">
      <alignment horizontal="right"/>
    </xf>
    <xf numFmtId="0" fontId="0" fillId="40" borderId="0" xfId="0" applyFill="1"/>
    <xf numFmtId="3" fontId="12" fillId="33" borderId="0" xfId="0" applyNumberFormat="1" applyFont="1" applyFill="1"/>
    <xf numFmtId="4" fontId="20" fillId="33" borderId="0" xfId="60" applyNumberFormat="1" applyFont="1" applyFill="1" applyAlignment="1">
      <alignment horizontal="right"/>
    </xf>
    <xf numFmtId="3" fontId="42" fillId="34" borderId="0" xfId="0" applyNumberFormat="1" applyFont="1" applyFill="1"/>
    <xf numFmtId="3" fontId="0" fillId="40" borderId="0" xfId="0" applyNumberFormat="1" applyFill="1"/>
    <xf numFmtId="4" fontId="20" fillId="41" borderId="0" xfId="61" applyNumberFormat="1" applyFont="1" applyFill="1" applyAlignment="1">
      <alignment horizontal="right"/>
    </xf>
    <xf numFmtId="4" fontId="20" fillId="42" borderId="0" xfId="61" applyNumberFormat="1" applyFont="1" applyFill="1" applyAlignment="1">
      <alignment horizontal="right"/>
    </xf>
    <xf numFmtId="14" fontId="22" fillId="0" borderId="0" xfId="61" applyNumberFormat="1"/>
    <xf numFmtId="0" fontId="22" fillId="0" borderId="0" xfId="61"/>
    <xf numFmtId="0" fontId="18" fillId="0" borderId="0" xfId="61" applyFont="1"/>
    <xf numFmtId="0" fontId="19" fillId="39" borderId="0" xfId="61" applyFont="1" applyFill="1" applyAlignment="1">
      <alignment horizontal="left" wrapText="1"/>
    </xf>
    <xf numFmtId="0" fontId="20" fillId="0" borderId="0" xfId="61" applyFont="1" applyAlignment="1">
      <alignment horizontal="left"/>
    </xf>
    <xf numFmtId="3" fontId="0" fillId="43" borderId="0" xfId="0" applyNumberFormat="1" applyFill="1"/>
    <xf numFmtId="3" fontId="0" fillId="36" borderId="0" xfId="0" applyNumberFormat="1" applyFill="1"/>
    <xf numFmtId="4" fontId="20" fillId="36" borderId="0" xfId="62" applyNumberFormat="1" applyFont="1" applyFill="1" applyAlignment="1">
      <alignment horizontal="right"/>
    </xf>
    <xf numFmtId="0" fontId="23" fillId="0" borderId="0" xfId="62"/>
    <xf numFmtId="0" fontId="18" fillId="0" borderId="0" xfId="62" applyFont="1"/>
    <xf numFmtId="0" fontId="19" fillId="39" borderId="0" xfId="62" applyFont="1" applyFill="1" applyAlignment="1">
      <alignment horizontal="left" wrapText="1"/>
    </xf>
    <xf numFmtId="0" fontId="20" fillId="0" borderId="0" xfId="62" applyFont="1" applyAlignment="1">
      <alignment horizontal="left"/>
    </xf>
    <xf numFmtId="4" fontId="20" fillId="0" borderId="0" xfId="62" applyNumberFormat="1" applyFont="1" applyAlignment="1">
      <alignment horizontal="right"/>
    </xf>
    <xf numFmtId="3" fontId="0" fillId="44" borderId="0" xfId="0" applyNumberFormat="1" applyFill="1"/>
    <xf numFmtId="3" fontId="42" fillId="33" borderId="0" xfId="0" applyNumberFormat="1" applyFont="1" applyFill="1"/>
    <xf numFmtId="3" fontId="0" fillId="45" borderId="0" xfId="0" applyNumberFormat="1" applyFill="1"/>
    <xf numFmtId="14" fontId="16" fillId="0" borderId="0" xfId="0" applyNumberFormat="1" applyFont="1"/>
    <xf numFmtId="4" fontId="20" fillId="46" borderId="0" xfId="0" applyNumberFormat="1" applyFont="1" applyFill="1" applyAlignment="1">
      <alignment horizontal="right"/>
    </xf>
    <xf numFmtId="0" fontId="24" fillId="0" borderId="0" xfId="0" applyFont="1" applyAlignment="1">
      <alignment horizontal="left"/>
    </xf>
    <xf numFmtId="4" fontId="24" fillId="46" borderId="0" xfId="0" applyNumberFormat="1" applyFont="1" applyFill="1" applyAlignment="1">
      <alignment horizontal="right"/>
    </xf>
    <xf numFmtId="4" fontId="24" fillId="0" borderId="0" xfId="0" applyNumberFormat="1" applyFont="1" applyAlignment="1">
      <alignment horizontal="right"/>
    </xf>
    <xf numFmtId="3" fontId="20" fillId="44" borderId="0" xfId="0" applyNumberFormat="1" applyFont="1" applyFill="1" applyAlignment="1">
      <alignment horizontal="right"/>
    </xf>
    <xf numFmtId="3" fontId="24" fillId="44" borderId="0" xfId="0" applyNumberFormat="1" applyFont="1" applyFill="1" applyAlignment="1">
      <alignment horizontal="right"/>
    </xf>
    <xf numFmtId="4" fontId="20" fillId="45" borderId="0" xfId="0" applyNumberFormat="1" applyFont="1" applyFill="1" applyAlignment="1">
      <alignment horizontal="right"/>
    </xf>
    <xf numFmtId="4" fontId="24" fillId="45" borderId="0" xfId="0" applyNumberFormat="1" applyFont="1" applyFill="1" applyAlignment="1">
      <alignment horizontal="right"/>
    </xf>
    <xf numFmtId="3" fontId="20" fillId="47" borderId="0" xfId="0" applyNumberFormat="1" applyFont="1" applyFill="1" applyAlignment="1">
      <alignment horizontal="right"/>
    </xf>
    <xf numFmtId="3" fontId="24" fillId="47" borderId="0" xfId="0" applyNumberFormat="1" applyFont="1" applyFill="1" applyAlignment="1">
      <alignment horizontal="right"/>
    </xf>
    <xf numFmtId="4" fontId="20" fillId="48" borderId="0" xfId="0" applyNumberFormat="1" applyFont="1" applyFill="1" applyAlignment="1">
      <alignment horizontal="right"/>
    </xf>
    <xf numFmtId="4" fontId="24" fillId="48" borderId="0" xfId="0" applyNumberFormat="1" applyFont="1" applyFill="1" applyAlignment="1">
      <alignment horizontal="right"/>
    </xf>
    <xf numFmtId="3" fontId="20" fillId="49" borderId="0" xfId="0" applyNumberFormat="1" applyFont="1" applyFill="1" applyAlignment="1">
      <alignment horizontal="right"/>
    </xf>
    <xf numFmtId="3" fontId="24" fillId="49" borderId="0" xfId="0" applyNumberFormat="1" applyFont="1" applyFill="1" applyAlignment="1">
      <alignment horizontal="right"/>
    </xf>
    <xf numFmtId="3" fontId="43" fillId="49" borderId="0" xfId="0" applyNumberFormat="1" applyFont="1" applyFill="1" applyAlignment="1">
      <alignment horizontal="right"/>
    </xf>
    <xf numFmtId="3" fontId="44" fillId="49" borderId="0" xfId="0" applyNumberFormat="1" applyFont="1" applyFill="1" applyAlignment="1">
      <alignment horizontal="right"/>
    </xf>
    <xf numFmtId="3" fontId="43" fillId="47" borderId="0" xfId="0" applyNumberFormat="1" applyFont="1" applyFill="1" applyAlignment="1">
      <alignment horizontal="right"/>
    </xf>
    <xf numFmtId="3" fontId="44" fillId="47" borderId="0" xfId="0" applyNumberFormat="1" applyFont="1" applyFill="1" applyAlignment="1">
      <alignment horizontal="right"/>
    </xf>
    <xf numFmtId="4" fontId="43" fillId="0" borderId="0" xfId="0" applyNumberFormat="1" applyFont="1" applyAlignment="1">
      <alignment horizontal="right"/>
    </xf>
    <xf numFmtId="4" fontId="44" fillId="0" borderId="0" xfId="0" applyNumberFormat="1" applyFont="1" applyAlignment="1">
      <alignment horizontal="right"/>
    </xf>
    <xf numFmtId="0" fontId="0" fillId="50" borderId="0" xfId="0" applyFill="1"/>
    <xf numFmtId="0" fontId="0" fillId="51" borderId="0" xfId="0" applyFill="1"/>
    <xf numFmtId="0" fontId="0" fillId="52" borderId="0" xfId="0" applyFill="1"/>
    <xf numFmtId="3" fontId="0" fillId="52" borderId="0" xfId="0" applyNumberFormat="1" applyFill="1"/>
    <xf numFmtId="0" fontId="42" fillId="50" borderId="0" xfId="0" applyFont="1" applyFill="1"/>
    <xf numFmtId="0" fontId="42" fillId="52" borderId="0" xfId="0" applyFont="1" applyFill="1"/>
    <xf numFmtId="4" fontId="42" fillId="0" borderId="0" xfId="0" applyNumberFormat="1" applyFont="1"/>
    <xf numFmtId="0" fontId="45" fillId="52" borderId="0" xfId="0" applyFont="1" applyFill="1"/>
    <xf numFmtId="0" fontId="46" fillId="0" borderId="0" xfId="0" applyFont="1"/>
    <xf numFmtId="4" fontId="20" fillId="42" borderId="0" xfId="0" applyNumberFormat="1" applyFont="1" applyFill="1" applyAlignment="1">
      <alignment horizontal="right"/>
    </xf>
    <xf numFmtId="4" fontId="20" fillId="44" borderId="0" xfId="0" applyNumberFormat="1" applyFont="1" applyFill="1" applyAlignment="1">
      <alignment horizontal="right"/>
    </xf>
    <xf numFmtId="4" fontId="24" fillId="42" borderId="0" xfId="0" applyNumberFormat="1" applyFont="1" applyFill="1" applyAlignment="1">
      <alignment horizontal="right"/>
    </xf>
    <xf numFmtId="0" fontId="47" fillId="53" borderId="0" xfId="0" applyFont="1" applyFill="1"/>
    <xf numFmtId="4" fontId="24" fillId="44" borderId="0" xfId="0" applyNumberFormat="1" applyFont="1" applyFill="1" applyAlignment="1">
      <alignment horizontal="right"/>
    </xf>
    <xf numFmtId="0" fontId="47" fillId="46" borderId="0" xfId="0" applyFont="1" applyFill="1"/>
    <xf numFmtId="3" fontId="46" fillId="0" borderId="0" xfId="0" applyNumberFormat="1" applyFont="1"/>
    <xf numFmtId="3" fontId="47" fillId="41" borderId="0" xfId="0" applyNumberFormat="1" applyFont="1" applyFill="1"/>
    <xf numFmtId="3" fontId="47" fillId="50" borderId="0" xfId="0" applyNumberFormat="1" applyFont="1" applyFill="1"/>
    <xf numFmtId="0" fontId="21" fillId="0" borderId="0" xfId="0" applyFont="1"/>
    <xf numFmtId="3" fontId="20" fillId="0" borderId="0" xfId="0" applyNumberFormat="1" applyFont="1" applyAlignment="1">
      <alignment horizontal="right"/>
    </xf>
    <xf numFmtId="3" fontId="24" fillId="0" borderId="0" xfId="0" applyNumberFormat="1" applyFont="1" applyAlignment="1">
      <alignment horizontal="right"/>
    </xf>
    <xf numFmtId="3" fontId="48" fillId="50" borderId="0" xfId="0" applyNumberFormat="1" applyFont="1" applyFill="1"/>
    <xf numFmtId="3" fontId="43" fillId="0" borderId="0" xfId="0" applyNumberFormat="1" applyFont="1" applyAlignment="1">
      <alignment horizontal="right"/>
    </xf>
    <xf numFmtId="3" fontId="20" fillId="33" borderId="0" xfId="0" applyNumberFormat="1" applyFont="1" applyFill="1" applyAlignment="1">
      <alignment horizontal="right"/>
    </xf>
    <xf numFmtId="0" fontId="21" fillId="33" borderId="0" xfId="0" applyFont="1" applyFill="1"/>
    <xf numFmtId="3" fontId="48" fillId="41" borderId="0" xfId="0" applyNumberFormat="1" applyFont="1" applyFill="1"/>
    <xf numFmtId="4" fontId="47" fillId="46" borderId="0" xfId="0" applyNumberFormat="1" applyFont="1" applyFill="1"/>
    <xf numFmtId="4" fontId="21" fillId="46" borderId="0" xfId="0" applyNumberFormat="1" applyFont="1" applyFill="1"/>
    <xf numFmtId="0" fontId="21" fillId="46" borderId="0" xfId="0" applyFont="1" applyFill="1"/>
    <xf numFmtId="4" fontId="20" fillId="40" borderId="0" xfId="73" applyNumberFormat="1" applyFont="1" applyFill="1" applyAlignment="1">
      <alignment horizontal="right"/>
    </xf>
    <xf numFmtId="4" fontId="20" fillId="37" borderId="0" xfId="73" applyNumberFormat="1" applyFont="1" applyFill="1" applyAlignment="1">
      <alignment horizontal="right"/>
    </xf>
    <xf numFmtId="3" fontId="0" fillId="41" borderId="0" xfId="0" applyNumberFormat="1" applyFill="1"/>
    <xf numFmtId="0" fontId="20" fillId="44" borderId="0" xfId="60" applyFont="1" applyFill="1" applyAlignment="1">
      <alignment horizontal="left"/>
    </xf>
    <xf numFmtId="4" fontId="20" fillId="46" borderId="0" xfId="60" applyNumberFormat="1" applyFont="1" applyFill="1" applyAlignment="1">
      <alignment horizontal="right"/>
    </xf>
    <xf numFmtId="4" fontId="20" fillId="50" borderId="0" xfId="60" applyNumberFormat="1" applyFont="1" applyFill="1" applyAlignment="1">
      <alignment horizontal="right"/>
    </xf>
    <xf numFmtId="3" fontId="20" fillId="44" borderId="0" xfId="60" applyNumberFormat="1" applyFont="1" applyFill="1" applyAlignment="1">
      <alignment horizontal="left"/>
    </xf>
    <xf numFmtId="3" fontId="20" fillId="44" borderId="0" xfId="60" applyNumberFormat="1" applyFont="1" applyFill="1" applyAlignment="1">
      <alignment horizontal="right"/>
    </xf>
    <xf numFmtId="3" fontId="20" fillId="46" borderId="0" xfId="60" applyNumberFormat="1" applyFont="1" applyFill="1" applyAlignment="1">
      <alignment horizontal="right"/>
    </xf>
    <xf numFmtId="3" fontId="42" fillId="41" borderId="0" xfId="0" applyNumberFormat="1" applyFont="1" applyFill="1"/>
    <xf numFmtId="3" fontId="43" fillId="0" borderId="0" xfId="60" applyNumberFormat="1" applyFont="1" applyAlignment="1">
      <alignment horizontal="right"/>
    </xf>
    <xf numFmtId="3" fontId="20" fillId="0" borderId="0" xfId="60" applyNumberFormat="1" applyFont="1" applyAlignment="1">
      <alignment horizontal="right"/>
    </xf>
    <xf numFmtId="4" fontId="43" fillId="0" borderId="0" xfId="60" applyNumberFormat="1" applyFont="1" applyAlignment="1">
      <alignment horizontal="right"/>
    </xf>
    <xf numFmtId="3" fontId="12" fillId="41" borderId="0" xfId="0" applyNumberFormat="1" applyFont="1" applyFill="1"/>
    <xf numFmtId="4" fontId="20" fillId="42" borderId="0" xfId="73" applyNumberFormat="1" applyFont="1" applyFill="1" applyAlignment="1">
      <alignment horizontal="right"/>
    </xf>
    <xf numFmtId="0" fontId="0" fillId="53" borderId="0" xfId="0" applyFill="1"/>
    <xf numFmtId="3" fontId="19" fillId="39" borderId="0" xfId="73" applyNumberFormat="1" applyFont="1" applyFill="1" applyAlignment="1">
      <alignment horizontal="left" wrapText="1"/>
    </xf>
    <xf numFmtId="4" fontId="20" fillId="44" borderId="0" xfId="73" applyNumberFormat="1" applyFont="1" applyFill="1" applyAlignment="1">
      <alignment horizontal="right"/>
    </xf>
    <xf numFmtId="0" fontId="0" fillId="46" borderId="0" xfId="0" applyFill="1"/>
    <xf numFmtId="3" fontId="0" fillId="50" borderId="0" xfId="0" applyNumberFormat="1" applyFill="1"/>
    <xf numFmtId="4" fontId="20" fillId="50" borderId="0" xfId="73" applyNumberFormat="1" applyFont="1" applyFill="1" applyAlignment="1">
      <alignment horizontal="right"/>
    </xf>
    <xf numFmtId="3" fontId="42" fillId="40" borderId="0" xfId="0" applyNumberFormat="1" applyFont="1" applyFill="1"/>
    <xf numFmtId="4" fontId="43" fillId="0" borderId="0" xfId="73" applyNumberFormat="1" applyFont="1" applyAlignment="1">
      <alignment horizontal="right"/>
    </xf>
    <xf numFmtId="2" fontId="0" fillId="0" borderId="0" xfId="0" applyNumberFormat="1"/>
    <xf numFmtId="14" fontId="49" fillId="0" borderId="0" xfId="73" applyNumberFormat="1"/>
    <xf numFmtId="0" fontId="0" fillId="41" borderId="0" xfId="0" applyFill="1"/>
    <xf numFmtId="4" fontId="20" fillId="38" borderId="0" xfId="73" applyNumberFormat="1" applyFont="1" applyFill="1" applyAlignment="1">
      <alignment horizontal="right"/>
    </xf>
    <xf numFmtId="0" fontId="0" fillId="38" borderId="0" xfId="0" applyFill="1"/>
    <xf numFmtId="4" fontId="20" fillId="46" borderId="0" xfId="73" applyNumberFormat="1" applyFont="1" applyFill="1" applyAlignment="1">
      <alignment horizontal="right"/>
    </xf>
    <xf numFmtId="3" fontId="0" fillId="46" borderId="0" xfId="0" applyNumberFormat="1" applyFill="1"/>
    <xf numFmtId="3" fontId="16" fillId="40" borderId="0" xfId="0" applyNumberFormat="1" applyFont="1" applyFill="1"/>
    <xf numFmtId="4" fontId="24" fillId="42" borderId="0" xfId="73" applyNumberFormat="1" applyFont="1" applyFill="1" applyAlignment="1">
      <alignment horizontal="right"/>
    </xf>
    <xf numFmtId="4" fontId="24" fillId="0" borderId="0" xfId="73" applyNumberFormat="1" applyFont="1" applyAlignment="1">
      <alignment horizontal="right"/>
    </xf>
    <xf numFmtId="0" fontId="16" fillId="41" borderId="0" xfId="0" applyFont="1" applyFill="1"/>
    <xf numFmtId="3" fontId="12" fillId="46" borderId="0" xfId="0" applyNumberFormat="1" applyFont="1" applyFill="1"/>
    <xf numFmtId="0" fontId="49" fillId="0" borderId="0" xfId="73"/>
    <xf numFmtId="0" fontId="18" fillId="0" borderId="0" xfId="73" applyFont="1"/>
    <xf numFmtId="0" fontId="19" fillId="39" borderId="0" xfId="73" applyFont="1" applyFill="1" applyAlignment="1">
      <alignment horizontal="left" wrapText="1"/>
    </xf>
    <xf numFmtId="0" fontId="20" fillId="0" borderId="0" xfId="73" applyFont="1" applyAlignment="1">
      <alignment horizontal="left"/>
    </xf>
    <xf numFmtId="4" fontId="20" fillId="0" borderId="0" xfId="73" applyNumberFormat="1" applyFont="1" applyAlignment="1">
      <alignment horizontal="right"/>
    </xf>
    <xf numFmtId="4" fontId="20" fillId="33" borderId="0" xfId="73" applyNumberFormat="1" applyFont="1" applyFill="1" applyAlignment="1">
      <alignment horizontal="right"/>
    </xf>
    <xf numFmtId="4" fontId="43" fillId="33" borderId="0" xfId="73" applyNumberFormat="1" applyFont="1" applyFill="1" applyAlignment="1">
      <alignment horizontal="right"/>
    </xf>
    <xf numFmtId="4" fontId="0" fillId="41" borderId="0" xfId="0" applyNumberFormat="1" applyFill="1"/>
    <xf numFmtId="4" fontId="16" fillId="41" borderId="0" xfId="0" applyNumberFormat="1" applyFont="1" applyFill="1"/>
    <xf numFmtId="4" fontId="0" fillId="38" borderId="0" xfId="0" applyNumberFormat="1" applyFill="1"/>
    <xf numFmtId="4" fontId="0" fillId="50" borderId="0" xfId="0" applyNumberFormat="1" applyFill="1"/>
    <xf numFmtId="0" fontId="51" fillId="54" borderId="0" xfId="0" applyFont="1" applyFill="1" applyAlignment="1">
      <alignment horizontal="left"/>
    </xf>
    <xf numFmtId="0" fontId="21" fillId="36" borderId="0" xfId="0" applyFont="1" applyFill="1"/>
    <xf numFmtId="0" fontId="47" fillId="45" borderId="0" xfId="0" applyFont="1" applyFill="1" applyAlignment="1">
      <alignment horizontal="center"/>
    </xf>
    <xf numFmtId="0" fontId="47" fillId="33" borderId="0" xfId="0" applyFont="1" applyFill="1" applyAlignment="1">
      <alignment horizontal="center"/>
    </xf>
    <xf numFmtId="0" fontId="47" fillId="0" borderId="0" xfId="0" applyFont="1" applyAlignment="1">
      <alignment horizontal="center"/>
    </xf>
    <xf numFmtId="1" fontId="47" fillId="0" borderId="0" xfId="0" applyNumberFormat="1" applyFont="1" applyAlignment="1">
      <alignment horizontal="center"/>
    </xf>
    <xf numFmtId="1" fontId="47" fillId="0" borderId="1" xfId="0" applyNumberFormat="1" applyFont="1" applyBorder="1" applyAlignment="1">
      <alignment horizontal="center"/>
    </xf>
    <xf numFmtId="3" fontId="21" fillId="45" borderId="0" xfId="0" applyNumberFormat="1" applyFont="1" applyFill="1"/>
    <xf numFmtId="3" fontId="21" fillId="0" borderId="0" xfId="0" applyNumberFormat="1" applyFont="1"/>
    <xf numFmtId="0" fontId="21" fillId="55" borderId="0" xfId="0" applyFont="1" applyFill="1"/>
    <xf numFmtId="0" fontId="21" fillId="49" borderId="0" xfId="0" applyFont="1" applyFill="1"/>
    <xf numFmtId="0" fontId="47" fillId="56" borderId="0" xfId="0" applyFont="1" applyFill="1" applyAlignment="1">
      <alignment horizontal="center"/>
    </xf>
    <xf numFmtId="0" fontId="47" fillId="57" borderId="0" xfId="0" applyFont="1" applyFill="1" applyAlignment="1">
      <alignment horizontal="center"/>
    </xf>
    <xf numFmtId="3" fontId="47" fillId="58" borderId="0" xfId="0" applyNumberFormat="1" applyFont="1" applyFill="1" applyAlignment="1">
      <alignment horizontal="center"/>
    </xf>
    <xf numFmtId="3" fontId="47" fillId="59" borderId="0" xfId="0" applyNumberFormat="1" applyFont="1" applyFill="1" applyAlignment="1">
      <alignment horizontal="center"/>
    </xf>
    <xf numFmtId="0" fontId="47" fillId="45" borderId="11" xfId="0" applyFont="1" applyFill="1" applyBorder="1" applyAlignment="1">
      <alignment horizontal="center"/>
    </xf>
    <xf numFmtId="0" fontId="47" fillId="36" borderId="0" xfId="0" applyFont="1" applyFill="1" applyAlignment="1">
      <alignment horizontal="center"/>
    </xf>
    <xf numFmtId="0" fontId="47" fillId="43" borderId="0" xfId="0" applyFont="1" applyFill="1" applyAlignment="1">
      <alignment horizontal="center"/>
    </xf>
    <xf numFmtId="0" fontId="47" fillId="60" borderId="0" xfId="0" applyFont="1" applyFill="1" applyAlignment="1">
      <alignment horizontal="center"/>
    </xf>
    <xf numFmtId="0" fontId="47" fillId="40" borderId="0" xfId="0" applyFont="1" applyFill="1" applyAlignment="1">
      <alignment horizontal="center"/>
    </xf>
    <xf numFmtId="0" fontId="47" fillId="49" borderId="0" xfId="0" applyFont="1" applyFill="1" applyAlignment="1">
      <alignment horizontal="center"/>
    </xf>
    <xf numFmtId="0" fontId="21" fillId="0" borderId="1" xfId="0" applyFont="1" applyBorder="1"/>
    <xf numFmtId="0" fontId="47" fillId="56" borderId="1" xfId="0" applyFont="1" applyFill="1" applyBorder="1" applyAlignment="1">
      <alignment horizontal="center"/>
    </xf>
    <xf numFmtId="0" fontId="47" fillId="57" borderId="1" xfId="0" applyFont="1" applyFill="1" applyBorder="1" applyAlignment="1">
      <alignment horizontal="center"/>
    </xf>
    <xf numFmtId="0" fontId="47" fillId="58" borderId="1" xfId="0" applyFont="1" applyFill="1" applyBorder="1" applyAlignment="1">
      <alignment horizontal="center"/>
    </xf>
    <xf numFmtId="0" fontId="47" fillId="59" borderId="1" xfId="0" applyFont="1" applyFill="1" applyBorder="1" applyAlignment="1">
      <alignment horizontal="center"/>
    </xf>
    <xf numFmtId="0" fontId="47" fillId="45" borderId="12" xfId="0" applyFont="1" applyFill="1" applyBorder="1" applyAlignment="1">
      <alignment horizontal="center"/>
    </xf>
    <xf numFmtId="0" fontId="47" fillId="36" borderId="1" xfId="0" applyFont="1" applyFill="1" applyBorder="1" applyAlignment="1">
      <alignment horizontal="center"/>
    </xf>
    <xf numFmtId="0" fontId="47" fillId="33" borderId="1" xfId="0" applyFont="1" applyFill="1" applyBorder="1" applyAlignment="1">
      <alignment horizontal="center"/>
    </xf>
    <xf numFmtId="0" fontId="47" fillId="43" borderId="1" xfId="0" applyFont="1" applyFill="1" applyBorder="1" applyAlignment="1">
      <alignment horizontal="center"/>
    </xf>
    <xf numFmtId="0" fontId="47" fillId="60" borderId="1" xfId="0" applyFont="1" applyFill="1" applyBorder="1" applyAlignment="1">
      <alignment horizontal="center"/>
    </xf>
    <xf numFmtId="0" fontId="47" fillId="40" borderId="1" xfId="0" applyFont="1" applyFill="1" applyBorder="1" applyAlignment="1">
      <alignment horizontal="center"/>
    </xf>
    <xf numFmtId="1" fontId="47" fillId="49" borderId="1" xfId="0" applyNumberFormat="1" applyFont="1" applyFill="1" applyBorder="1" applyAlignment="1">
      <alignment horizontal="center"/>
    </xf>
    <xf numFmtId="0" fontId="21" fillId="56" borderId="0" xfId="0" applyFont="1" applyFill="1"/>
    <xf numFmtId="0" fontId="21" fillId="57" borderId="0" xfId="0" applyFont="1" applyFill="1"/>
    <xf numFmtId="3" fontId="21" fillId="58" borderId="0" xfId="0" applyNumberFormat="1" applyFont="1" applyFill="1"/>
    <xf numFmtId="3" fontId="21" fillId="59" borderId="0" xfId="0" applyNumberFormat="1" applyFont="1" applyFill="1"/>
    <xf numFmtId="3" fontId="21" fillId="61" borderId="11" xfId="0" applyNumberFormat="1" applyFont="1" applyFill="1" applyBorder="1"/>
    <xf numFmtId="3" fontId="21" fillId="62" borderId="0" xfId="0" applyNumberFormat="1" applyFont="1" applyFill="1"/>
    <xf numFmtId="3" fontId="21" fillId="63" borderId="0" xfId="0" applyNumberFormat="1" applyFont="1" applyFill="1"/>
    <xf numFmtId="3" fontId="21" fillId="64" borderId="0" xfId="0" applyNumberFormat="1" applyFont="1" applyFill="1"/>
    <xf numFmtId="3" fontId="21" fillId="60" borderId="0" xfId="0" applyNumberFormat="1" applyFont="1" applyFill="1"/>
    <xf numFmtId="3" fontId="21" fillId="65" borderId="0" xfId="0" applyNumberFormat="1" applyFont="1" applyFill="1"/>
    <xf numFmtId="3" fontId="21" fillId="66" borderId="0" xfId="0" applyNumberFormat="1" applyFont="1" applyFill="1"/>
    <xf numFmtId="3" fontId="21" fillId="57" borderId="0" xfId="0" applyNumberFormat="1" applyFont="1" applyFill="1"/>
    <xf numFmtId="3" fontId="21" fillId="67" borderId="11" xfId="0" applyNumberFormat="1" applyFont="1" applyFill="1" applyBorder="1"/>
    <xf numFmtId="3" fontId="21" fillId="68" borderId="0" xfId="0" applyNumberFormat="1" applyFont="1" applyFill="1"/>
    <xf numFmtId="3" fontId="21" fillId="69" borderId="0" xfId="0" applyNumberFormat="1" applyFont="1" applyFill="1"/>
    <xf numFmtId="3" fontId="21" fillId="70" borderId="0" xfId="0" applyNumberFormat="1" applyFont="1" applyFill="1"/>
    <xf numFmtId="3" fontId="21" fillId="71" borderId="0" xfId="0" applyNumberFormat="1" applyFont="1" applyFill="1"/>
    <xf numFmtId="165" fontId="21" fillId="0" borderId="0" xfId="0" applyNumberFormat="1" applyFont="1"/>
    <xf numFmtId="3" fontId="21" fillId="72" borderId="0" xfId="0" applyNumberFormat="1" applyFont="1" applyFill="1"/>
    <xf numFmtId="0" fontId="47" fillId="0" borderId="0" xfId="0" applyFont="1"/>
    <xf numFmtId="3" fontId="47" fillId="56" borderId="0" xfId="0" applyNumberFormat="1" applyFont="1" applyFill="1"/>
    <xf numFmtId="3" fontId="47" fillId="57" borderId="0" xfId="0" applyNumberFormat="1" applyFont="1" applyFill="1"/>
    <xf numFmtId="3" fontId="47" fillId="58" borderId="0" xfId="0" applyNumberFormat="1" applyFont="1" applyFill="1"/>
    <xf numFmtId="3" fontId="47" fillId="59" borderId="0" xfId="0" applyNumberFormat="1" applyFont="1" applyFill="1"/>
    <xf numFmtId="3" fontId="47" fillId="67" borderId="11" xfId="0" applyNumberFormat="1" applyFont="1" applyFill="1" applyBorder="1"/>
    <xf numFmtId="3" fontId="47" fillId="68" borderId="0" xfId="0" applyNumberFormat="1" applyFont="1" applyFill="1"/>
    <xf numFmtId="3" fontId="47" fillId="69" borderId="0" xfId="0" applyNumberFormat="1" applyFont="1" applyFill="1"/>
    <xf numFmtId="3" fontId="47" fillId="70" borderId="0" xfId="0" applyNumberFormat="1" applyFont="1" applyFill="1"/>
    <xf numFmtId="3" fontId="47" fillId="60" borderId="0" xfId="0" applyNumberFormat="1" applyFont="1" applyFill="1"/>
    <xf numFmtId="3" fontId="47" fillId="71" borderId="0" xfId="0" applyNumberFormat="1" applyFont="1" applyFill="1"/>
    <xf numFmtId="165" fontId="47" fillId="0" borderId="0" xfId="0" applyNumberFormat="1" applyFont="1"/>
    <xf numFmtId="3" fontId="47" fillId="72" borderId="0" xfId="0" applyNumberFormat="1" applyFont="1" applyFill="1"/>
    <xf numFmtId="0" fontId="47" fillId="56" borderId="0" xfId="0" applyFont="1" applyFill="1"/>
    <xf numFmtId="0" fontId="47" fillId="57" borderId="0" xfId="0" applyFont="1" applyFill="1"/>
    <xf numFmtId="3" fontId="47" fillId="0" borderId="0" xfId="0" applyNumberFormat="1" applyFont="1"/>
    <xf numFmtId="3" fontId="47" fillId="0" borderId="11" xfId="0" applyNumberFormat="1" applyFont="1" applyBorder="1"/>
    <xf numFmtId="0" fontId="21" fillId="0" borderId="11" xfId="0" applyFont="1" applyBorder="1"/>
    <xf numFmtId="0" fontId="47" fillId="58" borderId="0" xfId="0" applyFont="1" applyFill="1" applyAlignment="1">
      <alignment horizontal="center"/>
    </xf>
    <xf numFmtId="0" fontId="47" fillId="59" borderId="0" xfId="0" applyFont="1" applyFill="1" applyAlignment="1">
      <alignment horizontal="center"/>
    </xf>
    <xf numFmtId="1" fontId="47" fillId="49" borderId="0" xfId="0" applyNumberFormat="1" applyFont="1" applyFill="1" applyAlignment="1">
      <alignment horizontal="center"/>
    </xf>
    <xf numFmtId="3" fontId="21" fillId="69" borderId="0" xfId="0" applyNumberFormat="1" applyFont="1" applyFill="1" applyAlignment="1">
      <alignment horizontal="right"/>
    </xf>
    <xf numFmtId="3" fontId="21" fillId="70" borderId="0" xfId="0" applyNumberFormat="1" applyFont="1" applyFill="1" applyAlignment="1">
      <alignment horizontal="right"/>
    </xf>
    <xf numFmtId="3" fontId="21" fillId="71" borderId="0" xfId="0" applyNumberFormat="1" applyFont="1" applyFill="1" applyAlignment="1">
      <alignment horizontal="right"/>
    </xf>
    <xf numFmtId="3" fontId="21" fillId="0" borderId="0" xfId="0" applyNumberFormat="1" applyFont="1" applyAlignment="1">
      <alignment horizontal="right"/>
    </xf>
    <xf numFmtId="3" fontId="21" fillId="72" borderId="0" xfId="0" applyNumberFormat="1" applyFont="1" applyFill="1" applyAlignment="1">
      <alignment horizontal="right"/>
    </xf>
    <xf numFmtId="3" fontId="47" fillId="0" borderId="0" xfId="0" applyNumberFormat="1" applyFont="1" applyAlignment="1">
      <alignment horizontal="right"/>
    </xf>
    <xf numFmtId="3" fontId="47" fillId="68" borderId="11" xfId="0" applyNumberFormat="1" applyFont="1" applyFill="1" applyBorder="1"/>
    <xf numFmtId="0" fontId="48" fillId="0" borderId="0" xfId="0" applyFont="1"/>
    <xf numFmtId="3" fontId="47" fillId="68" borderId="13" xfId="0" applyNumberFormat="1" applyFont="1" applyFill="1" applyBorder="1"/>
    <xf numFmtId="3" fontId="47" fillId="69" borderId="11" xfId="0" applyNumberFormat="1" applyFont="1" applyFill="1" applyBorder="1"/>
    <xf numFmtId="0" fontId="21" fillId="57" borderId="0" xfId="0" applyFont="1" applyFill="1" applyAlignment="1">
      <alignment horizontal="right"/>
    </xf>
    <xf numFmtId="0" fontId="21" fillId="0" borderId="0" xfId="0" applyFont="1" applyAlignment="1">
      <alignment horizontal="left"/>
    </xf>
    <xf numFmtId="3" fontId="0" fillId="72" borderId="0" xfId="0" applyNumberFormat="1" applyFill="1"/>
    <xf numFmtId="3" fontId="21" fillId="59" borderId="13" xfId="0" applyNumberFormat="1" applyFont="1" applyFill="1" applyBorder="1"/>
    <xf numFmtId="3" fontId="21" fillId="67" borderId="0" xfId="0" applyNumberFormat="1" applyFont="1" applyFill="1"/>
    <xf numFmtId="3" fontId="47" fillId="59" borderId="13" xfId="0" applyNumberFormat="1" applyFont="1" applyFill="1" applyBorder="1"/>
    <xf numFmtId="3" fontId="47" fillId="67" borderId="0" xfId="0" applyNumberFormat="1" applyFont="1" applyFill="1"/>
    <xf numFmtId="3" fontId="47" fillId="49" borderId="0" xfId="0" applyNumberFormat="1" applyFont="1" applyFill="1"/>
    <xf numFmtId="3" fontId="47" fillId="73" borderId="0" xfId="0" applyNumberFormat="1" applyFont="1" applyFill="1"/>
    <xf numFmtId="3" fontId="47" fillId="61" borderId="11" xfId="0" applyNumberFormat="1" applyFont="1" applyFill="1" applyBorder="1"/>
    <xf numFmtId="3" fontId="47" fillId="62" borderId="0" xfId="0" applyNumberFormat="1" applyFont="1" applyFill="1"/>
    <xf numFmtId="3" fontId="47" fillId="63" borderId="0" xfId="0" applyNumberFormat="1" applyFont="1" applyFill="1"/>
    <xf numFmtId="3" fontId="47" fillId="64" borderId="0" xfId="0" applyNumberFormat="1" applyFont="1" applyFill="1"/>
    <xf numFmtId="3" fontId="47" fillId="65" borderId="0" xfId="0" applyNumberFormat="1" applyFont="1" applyFill="1"/>
    <xf numFmtId="3" fontId="47" fillId="66" borderId="0" xfId="0" applyNumberFormat="1" applyFont="1" applyFill="1"/>
    <xf numFmtId="0" fontId="21" fillId="60" borderId="0" xfId="0" applyFont="1" applyFill="1"/>
    <xf numFmtId="0" fontId="21" fillId="52" borderId="0" xfId="0" applyFont="1" applyFill="1"/>
    <xf numFmtId="0" fontId="21" fillId="38" borderId="0" xfId="0" applyFont="1" applyFill="1"/>
    <xf numFmtId="0" fontId="21" fillId="45" borderId="11" xfId="0" applyFont="1" applyFill="1" applyBorder="1"/>
    <xf numFmtId="0" fontId="21" fillId="43" borderId="0" xfId="0" applyFont="1" applyFill="1"/>
    <xf numFmtId="0" fontId="21" fillId="40" borderId="0" xfId="0" applyFont="1" applyFill="1"/>
    <xf numFmtId="3" fontId="47" fillId="57" borderId="1" xfId="0" applyNumberFormat="1" applyFont="1" applyFill="1" applyBorder="1"/>
    <xf numFmtId="3" fontId="47" fillId="58" borderId="1" xfId="0" applyNumberFormat="1" applyFont="1" applyFill="1" applyBorder="1"/>
    <xf numFmtId="3" fontId="47" fillId="59" borderId="1" xfId="0" applyNumberFormat="1" applyFont="1" applyFill="1" applyBorder="1"/>
    <xf numFmtId="3" fontId="47" fillId="61" borderId="1" xfId="0" applyNumberFormat="1" applyFont="1" applyFill="1" applyBorder="1"/>
    <xf numFmtId="3" fontId="47" fillId="62" borderId="1" xfId="0" applyNumberFormat="1" applyFont="1" applyFill="1" applyBorder="1"/>
    <xf numFmtId="3" fontId="47" fillId="63" borderId="1" xfId="0" applyNumberFormat="1" applyFont="1" applyFill="1" applyBorder="1"/>
    <xf numFmtId="3" fontId="47" fillId="64" borderId="1" xfId="0" applyNumberFormat="1" applyFont="1" applyFill="1" applyBorder="1"/>
    <xf numFmtId="3" fontId="47" fillId="60" borderId="1" xfId="0" applyNumberFormat="1" applyFont="1" applyFill="1" applyBorder="1"/>
    <xf numFmtId="3" fontId="47" fillId="65" borderId="1" xfId="0" applyNumberFormat="1" applyFont="1" applyFill="1" applyBorder="1"/>
    <xf numFmtId="165" fontId="47" fillId="0" borderId="1" xfId="0" applyNumberFormat="1" applyFont="1" applyBorder="1"/>
    <xf numFmtId="3" fontId="47" fillId="66" borderId="1" xfId="0" applyNumberFormat="1" applyFont="1" applyFill="1" applyBorder="1"/>
    <xf numFmtId="3" fontId="47" fillId="61" borderId="0" xfId="0" applyNumberFormat="1" applyFont="1" applyFill="1"/>
    <xf numFmtId="0" fontId="47" fillId="0" borderId="1" xfId="0" applyFont="1" applyBorder="1"/>
    <xf numFmtId="0" fontId="42" fillId="0" borderId="0" xfId="0" applyFont="1" applyAlignment="1">
      <alignment horizontal="left"/>
    </xf>
    <xf numFmtId="3" fontId="47" fillId="43" borderId="0" xfId="0" applyNumberFormat="1" applyFont="1" applyFill="1"/>
    <xf numFmtId="0" fontId="53" fillId="0" borderId="0" xfId="0" applyFont="1"/>
    <xf numFmtId="14" fontId="21" fillId="0" borderId="0" xfId="60" applyNumberFormat="1"/>
    <xf numFmtId="0" fontId="21" fillId="0" borderId="0" xfId="60"/>
    <xf numFmtId="0" fontId="18" fillId="0" borderId="0" xfId="60" applyFont="1"/>
    <xf numFmtId="0" fontId="19" fillId="39" borderId="0" xfId="60" applyFont="1" applyFill="1" applyAlignment="1">
      <alignment horizontal="left" wrapText="1"/>
    </xf>
    <xf numFmtId="0" fontId="20" fillId="0" borderId="0" xfId="60" applyFont="1" applyAlignment="1">
      <alignment horizontal="left"/>
    </xf>
    <xf numFmtId="4" fontId="20" fillId="0" borderId="0" xfId="60" applyNumberFormat="1" applyFont="1" applyAlignment="1">
      <alignment horizontal="right"/>
    </xf>
    <xf numFmtId="165" fontId="0" fillId="0" borderId="0" xfId="0" applyNumberFormat="1"/>
    <xf numFmtId="166" fontId="0" fillId="0" borderId="0" xfId="0" applyNumberFormat="1"/>
    <xf numFmtId="0" fontId="47" fillId="37" borderId="0" xfId="0" applyFont="1" applyFill="1" applyAlignment="1">
      <alignment horizontal="center"/>
    </xf>
    <xf numFmtId="0" fontId="47" fillId="37" borderId="1" xfId="0" applyFont="1" applyFill="1" applyBorder="1" applyAlignment="1">
      <alignment horizontal="center"/>
    </xf>
    <xf numFmtId="3" fontId="21" fillId="74" borderId="0" xfId="0" applyNumberFormat="1" applyFont="1" applyFill="1"/>
    <xf numFmtId="3" fontId="21" fillId="75" borderId="0" xfId="0" applyNumberFormat="1" applyFont="1" applyFill="1"/>
    <xf numFmtId="3" fontId="47" fillId="75" borderId="0" xfId="0" applyNumberFormat="1" applyFont="1" applyFill="1"/>
    <xf numFmtId="3" fontId="21" fillId="75" borderId="0" xfId="0" applyNumberFormat="1" applyFont="1" applyFill="1" applyAlignment="1">
      <alignment horizontal="right"/>
    </xf>
    <xf numFmtId="3" fontId="47" fillId="74" borderId="0" xfId="0" applyNumberFormat="1" applyFont="1" applyFill="1"/>
    <xf numFmtId="0" fontId="21" fillId="37" borderId="0" xfId="0" applyFont="1" applyFill="1"/>
    <xf numFmtId="3" fontId="47" fillId="74" borderId="1" xfId="0" applyNumberFormat="1" applyFont="1" applyFill="1" applyBorder="1"/>
    <xf numFmtId="0" fontId="47" fillId="0" borderId="11" xfId="0" applyFont="1" applyBorder="1"/>
    <xf numFmtId="0" fontId="0" fillId="0" borderId="11" xfId="0" applyBorder="1"/>
    <xf numFmtId="0" fontId="47" fillId="0" borderId="12" xfId="0" applyFont="1" applyBorder="1"/>
    <xf numFmtId="3" fontId="47" fillId="37" borderId="0" xfId="0" applyNumberFormat="1" applyFont="1" applyFill="1"/>
    <xf numFmtId="3" fontId="21" fillId="37" borderId="0" xfId="0" applyNumberFormat="1" applyFont="1" applyFill="1"/>
    <xf numFmtId="3" fontId="16" fillId="37" borderId="0" xfId="0" applyNumberFormat="1" applyFont="1" applyFill="1"/>
    <xf numFmtId="0" fontId="0" fillId="37" borderId="0" xfId="0" applyFill="1"/>
    <xf numFmtId="3" fontId="21" fillId="49" borderId="0" xfId="0" applyNumberFormat="1" applyFont="1" applyFill="1"/>
    <xf numFmtId="3" fontId="16" fillId="49" borderId="0" xfId="0" applyNumberFormat="1" applyFont="1" applyFill="1"/>
    <xf numFmtId="0" fontId="0" fillId="49" borderId="0" xfId="0" applyFill="1"/>
    <xf numFmtId="0" fontId="16" fillId="49" borderId="0" xfId="0" applyFont="1" applyFill="1"/>
    <xf numFmtId="0" fontId="47" fillId="45" borderId="1" xfId="0" applyFont="1" applyFill="1" applyBorder="1" applyAlignment="1">
      <alignment horizontal="center"/>
    </xf>
    <xf numFmtId="3" fontId="21" fillId="61" borderId="0" xfId="0" applyNumberFormat="1" applyFont="1" applyFill="1"/>
    <xf numFmtId="0" fontId="21" fillId="45" borderId="0" xfId="0" applyFont="1" applyFill="1"/>
    <xf numFmtId="3" fontId="47" fillId="45" borderId="0" xfId="0" applyNumberFormat="1" applyFont="1" applyFill="1"/>
    <xf numFmtId="0" fontId="0" fillId="45" borderId="0" xfId="0" applyFill="1"/>
    <xf numFmtId="0" fontId="47" fillId="47" borderId="0" xfId="0" applyFont="1" applyFill="1" applyAlignment="1">
      <alignment horizontal="center"/>
    </xf>
    <xf numFmtId="0" fontId="47" fillId="47" borderId="1" xfId="0" applyFont="1" applyFill="1" applyBorder="1" applyAlignment="1">
      <alignment horizontal="center"/>
    </xf>
    <xf numFmtId="3" fontId="21" fillId="76" borderId="0" xfId="0" applyNumberFormat="1" applyFont="1" applyFill="1"/>
    <xf numFmtId="3" fontId="21" fillId="77" borderId="0" xfId="0" applyNumberFormat="1" applyFont="1" applyFill="1"/>
    <xf numFmtId="3" fontId="47" fillId="77" borderId="0" xfId="0" applyNumberFormat="1" applyFont="1" applyFill="1"/>
    <xf numFmtId="3" fontId="47" fillId="76" borderId="0" xfId="0" applyNumberFormat="1" applyFont="1" applyFill="1"/>
    <xf numFmtId="0" fontId="21" fillId="47" borderId="0" xfId="0" applyFont="1" applyFill="1"/>
    <xf numFmtId="3" fontId="47" fillId="76" borderId="1" xfId="0" applyNumberFormat="1" applyFont="1" applyFill="1" applyBorder="1"/>
    <xf numFmtId="3" fontId="47" fillId="47" borderId="0" xfId="0" applyNumberFormat="1" applyFont="1" applyFill="1"/>
    <xf numFmtId="3" fontId="21" fillId="47" borderId="0" xfId="0" applyNumberFormat="1" applyFont="1" applyFill="1"/>
    <xf numFmtId="0" fontId="0" fillId="47" borderId="0" xfId="0" applyFill="1"/>
    <xf numFmtId="0" fontId="54" fillId="54" borderId="0" xfId="0" applyFont="1" applyFill="1" applyAlignment="1">
      <alignment horizontal="left"/>
    </xf>
    <xf numFmtId="0" fontId="47" fillId="49" borderId="0" xfId="0" applyFont="1" applyFill="1"/>
    <xf numFmtId="17" fontId="47" fillId="0" borderId="1" xfId="0" applyNumberFormat="1" applyFont="1" applyBorder="1" applyAlignment="1">
      <alignment horizontal="center"/>
    </xf>
    <xf numFmtId="3" fontId="21" fillId="56" borderId="0" xfId="0" applyNumberFormat="1" applyFont="1" applyFill="1"/>
    <xf numFmtId="0" fontId="52" fillId="33" borderId="0" xfId="0" applyFont="1" applyFill="1"/>
    <xf numFmtId="0" fontId="21" fillId="78" borderId="0" xfId="0" applyFont="1" applyFill="1"/>
    <xf numFmtId="0" fontId="21" fillId="79" borderId="0" xfId="0" applyFont="1" applyFill="1"/>
    <xf numFmtId="3" fontId="21" fillId="63" borderId="13" xfId="0" applyNumberFormat="1" applyFont="1" applyFill="1" applyBorder="1"/>
    <xf numFmtId="3" fontId="21" fillId="33" borderId="0" xfId="0" applyNumberFormat="1" applyFont="1" applyFill="1"/>
    <xf numFmtId="3" fontId="47" fillId="33" borderId="0" xfId="0" applyNumberFormat="1" applyFont="1" applyFill="1" applyAlignment="1">
      <alignment horizontal="right"/>
    </xf>
    <xf numFmtId="3" fontId="21" fillId="69" borderId="11" xfId="0" applyNumberFormat="1" applyFont="1" applyFill="1" applyBorder="1"/>
    <xf numFmtId="0" fontId="21" fillId="79" borderId="0" xfId="0" applyFont="1" applyFill="1" applyAlignment="1">
      <alignment horizontal="right"/>
    </xf>
    <xf numFmtId="3" fontId="21" fillId="33" borderId="0" xfId="0" applyNumberFormat="1" applyFont="1" applyFill="1" applyAlignment="1">
      <alignment horizontal="right"/>
    </xf>
    <xf numFmtId="0" fontId="16" fillId="0" borderId="14" xfId="0" applyFont="1" applyBorder="1"/>
    <xf numFmtId="0" fontId="0" fillId="0" borderId="14" xfId="0" applyBorder="1"/>
    <xf numFmtId="0" fontId="21" fillId="0" borderId="14" xfId="0" applyFont="1" applyBorder="1"/>
    <xf numFmtId="0" fontId="18" fillId="0" borderId="14" xfId="0" applyFont="1" applyBorder="1"/>
    <xf numFmtId="3" fontId="21" fillId="0" borderId="14" xfId="0" applyNumberFormat="1" applyFont="1" applyBorder="1"/>
    <xf numFmtId="3" fontId="47" fillId="0" borderId="14" xfId="0" applyNumberFormat="1" applyFont="1" applyBorder="1"/>
    <xf numFmtId="0" fontId="16" fillId="0" borderId="0" xfId="0" applyFont="1" applyAlignment="1">
      <alignment wrapText="1"/>
    </xf>
    <xf numFmtId="0" fontId="53" fillId="0" borderId="0" xfId="0" applyFont="1" applyAlignment="1">
      <alignment horizontal="left"/>
    </xf>
    <xf numFmtId="0" fontId="55" fillId="33" borderId="0" xfId="0" applyFont="1" applyFill="1" applyAlignment="1">
      <alignment horizontal="left"/>
    </xf>
    <xf numFmtId="0" fontId="56" fillId="0" borderId="0" xfId="0" applyFont="1"/>
    <xf numFmtId="0" fontId="53" fillId="0" borderId="14" xfId="0" applyFont="1" applyBorder="1"/>
    <xf numFmtId="3" fontId="47" fillId="0" borderId="1" xfId="0" applyNumberFormat="1" applyFont="1" applyBorder="1"/>
    <xf numFmtId="3" fontId="47" fillId="37" borderId="1" xfId="0" applyNumberFormat="1" applyFont="1" applyFill="1" applyBorder="1"/>
    <xf numFmtId="0" fontId="0" fillId="49" borderId="1" xfId="0" applyFill="1" applyBorder="1"/>
    <xf numFmtId="3" fontId="47" fillId="49" borderId="1" xfId="0" applyNumberFormat="1" applyFont="1" applyFill="1" applyBorder="1"/>
    <xf numFmtId="0" fontId="0" fillId="0" borderId="1" xfId="0" applyBorder="1"/>
    <xf numFmtId="3" fontId="47" fillId="45" borderId="1" xfId="0" applyNumberFormat="1" applyFont="1" applyFill="1" applyBorder="1"/>
    <xf numFmtId="3" fontId="47" fillId="47" borderId="1" xfId="0" applyNumberFormat="1" applyFont="1" applyFill="1" applyBorder="1"/>
    <xf numFmtId="0" fontId="16" fillId="0" borderId="1" xfId="0" applyFont="1" applyBorder="1"/>
    <xf numFmtId="0" fontId="16" fillId="49" borderId="1" xfId="0" applyFont="1" applyFill="1" applyBorder="1"/>
    <xf numFmtId="0" fontId="53" fillId="33" borderId="0" xfId="0" applyFont="1" applyFill="1"/>
    <xf numFmtId="0" fontId="53" fillId="34" borderId="0" xfId="0" applyFont="1" applyFill="1"/>
    <xf numFmtId="0" fontId="57" fillId="0" borderId="0" xfId="0" applyFont="1"/>
    <xf numFmtId="3" fontId="56" fillId="49" borderId="0" xfId="0" applyNumberFormat="1" applyFont="1" applyFill="1"/>
    <xf numFmtId="3" fontId="56" fillId="45" borderId="0" xfId="0" applyNumberFormat="1" applyFont="1" applyFill="1"/>
    <xf numFmtId="3" fontId="56" fillId="47" borderId="0" xfId="0" applyNumberFormat="1" applyFont="1" applyFill="1"/>
    <xf numFmtId="0" fontId="58" fillId="0" borderId="0" xfId="0" applyFont="1" applyAlignment="1">
      <alignment horizontal="left" vertical="top" wrapText="1"/>
    </xf>
    <xf numFmtId="3" fontId="53" fillId="49" borderId="0" xfId="0" applyNumberFormat="1" applyFont="1" applyFill="1"/>
    <xf numFmtId="165" fontId="53" fillId="49" borderId="0" xfId="0" applyNumberFormat="1" applyFont="1" applyFill="1"/>
    <xf numFmtId="0" fontId="53" fillId="47" borderId="0" xfId="0" applyFont="1" applyFill="1"/>
    <xf numFmtId="167" fontId="0" fillId="0" borderId="0" xfId="0" applyNumberFormat="1"/>
    <xf numFmtId="14" fontId="47" fillId="0" borderId="1" xfId="0" applyNumberFormat="1" applyFont="1" applyBorder="1" applyAlignment="1">
      <alignment horizontal="center"/>
    </xf>
    <xf numFmtId="3" fontId="21" fillId="80" borderId="0" xfId="0" applyNumberFormat="1" applyFont="1" applyFill="1"/>
    <xf numFmtId="0" fontId="59" fillId="54" borderId="0" xfId="0" applyFont="1" applyFill="1" applyAlignment="1">
      <alignment horizontal="left"/>
    </xf>
    <xf numFmtId="0" fontId="60" fillId="0" borderId="0" xfId="0" applyFont="1"/>
    <xf numFmtId="0" fontId="61" fillId="0" borderId="0" xfId="0" applyFont="1"/>
    <xf numFmtId="0" fontId="61" fillId="37" borderId="1" xfId="0" applyFont="1" applyFill="1" applyBorder="1" applyAlignment="1">
      <alignment horizontal="center"/>
    </xf>
    <xf numFmtId="1" fontId="61" fillId="48" borderId="1" xfId="0" applyNumberFormat="1" applyFont="1" applyFill="1" applyBorder="1" applyAlignment="1">
      <alignment horizontal="center"/>
    </xf>
    <xf numFmtId="1" fontId="61" fillId="49" borderId="1" xfId="0" applyNumberFormat="1" applyFont="1" applyFill="1" applyBorder="1" applyAlignment="1">
      <alignment horizontal="center"/>
    </xf>
    <xf numFmtId="0" fontId="61" fillId="45" borderId="1" xfId="0" applyFont="1" applyFill="1" applyBorder="1" applyAlignment="1">
      <alignment horizontal="center"/>
    </xf>
    <xf numFmtId="0" fontId="61" fillId="47" borderId="1" xfId="0" applyFont="1" applyFill="1" applyBorder="1" applyAlignment="1">
      <alignment horizontal="center"/>
    </xf>
    <xf numFmtId="0" fontId="62" fillId="0" borderId="0" xfId="0" applyFont="1"/>
    <xf numFmtId="3" fontId="62" fillId="74" borderId="0" xfId="0" applyNumberFormat="1" applyFont="1" applyFill="1"/>
    <xf numFmtId="3" fontId="62" fillId="81" borderId="0" xfId="0" applyNumberFormat="1" applyFont="1" applyFill="1"/>
    <xf numFmtId="3" fontId="62" fillId="66" borderId="0" xfId="0" applyNumberFormat="1" applyFont="1" applyFill="1"/>
    <xf numFmtId="3" fontId="62" fillId="61" borderId="0" xfId="0" applyNumberFormat="1" applyFont="1" applyFill="1"/>
    <xf numFmtId="3" fontId="62" fillId="76" borderId="0" xfId="0" applyNumberFormat="1" applyFont="1" applyFill="1"/>
    <xf numFmtId="49" fontId="62" fillId="74" borderId="0" xfId="0" applyNumberFormat="1" applyFont="1" applyFill="1" applyAlignment="1">
      <alignment horizontal="right"/>
    </xf>
    <xf numFmtId="0" fontId="63" fillId="0" borderId="0" xfId="0" applyFont="1" applyAlignment="1">
      <alignment wrapText="1"/>
    </xf>
    <xf numFmtId="0" fontId="64" fillId="0" borderId="0" xfId="0" applyFont="1"/>
    <xf numFmtId="0" fontId="61" fillId="37" borderId="0" xfId="0" applyFont="1" applyFill="1" applyAlignment="1">
      <alignment horizontal="center"/>
    </xf>
    <xf numFmtId="0" fontId="61" fillId="49" borderId="0" xfId="0" applyFont="1" applyFill="1" applyAlignment="1">
      <alignment horizontal="center"/>
    </xf>
    <xf numFmtId="0" fontId="61" fillId="45" borderId="0" xfId="0" applyFont="1" applyFill="1" applyAlignment="1">
      <alignment horizontal="center"/>
    </xf>
    <xf numFmtId="0" fontId="61" fillId="47" borderId="0" xfId="0" applyFont="1" applyFill="1" applyAlignment="1">
      <alignment horizontal="center"/>
    </xf>
    <xf numFmtId="0" fontId="62" fillId="0" borderId="1" xfId="0" applyFont="1" applyBorder="1"/>
    <xf numFmtId="3" fontId="62" fillId="75" borderId="0" xfId="0" applyNumberFormat="1" applyFont="1" applyFill="1"/>
    <xf numFmtId="3" fontId="62" fillId="82" borderId="0" xfId="0" applyNumberFormat="1" applyFont="1" applyFill="1"/>
    <xf numFmtId="3" fontId="62" fillId="72" borderId="0" xfId="0" applyNumberFormat="1" applyFont="1" applyFill="1"/>
    <xf numFmtId="3" fontId="62" fillId="67" borderId="0" xfId="0" applyNumberFormat="1" applyFont="1" applyFill="1"/>
    <xf numFmtId="3" fontId="62" fillId="77" borderId="0" xfId="0" applyNumberFormat="1" applyFont="1" applyFill="1"/>
    <xf numFmtId="3" fontId="61" fillId="75" borderId="0" xfId="0" applyNumberFormat="1" applyFont="1" applyFill="1"/>
    <xf numFmtId="3" fontId="61" fillId="82" borderId="0" xfId="0" applyNumberFormat="1" applyFont="1" applyFill="1"/>
    <xf numFmtId="3" fontId="61" fillId="72" borderId="0" xfId="0" applyNumberFormat="1" applyFont="1" applyFill="1"/>
    <xf numFmtId="3" fontId="61" fillId="67" borderId="0" xfId="0" applyNumberFormat="1" applyFont="1" applyFill="1"/>
    <xf numFmtId="3" fontId="61" fillId="77" borderId="0" xfId="0" applyNumberFormat="1" applyFont="1" applyFill="1"/>
    <xf numFmtId="0" fontId="65" fillId="0" borderId="0" xfId="0" applyFont="1"/>
    <xf numFmtId="3" fontId="61" fillId="0" borderId="0" xfId="0" applyNumberFormat="1" applyFont="1"/>
    <xf numFmtId="0" fontId="66" fillId="48" borderId="0" xfId="0" applyFont="1" applyFill="1" applyAlignment="1">
      <alignment horizontal="center"/>
    </xf>
    <xf numFmtId="1" fontId="61" fillId="48" borderId="0" xfId="0" applyNumberFormat="1" applyFont="1" applyFill="1" applyAlignment="1">
      <alignment horizontal="center"/>
    </xf>
    <xf numFmtId="1" fontId="61" fillId="49" borderId="0" xfId="0" applyNumberFormat="1" applyFont="1" applyFill="1" applyAlignment="1">
      <alignment horizontal="center"/>
    </xf>
    <xf numFmtId="3" fontId="62" fillId="75" borderId="0" xfId="0" applyNumberFormat="1" applyFont="1" applyFill="1" applyAlignment="1">
      <alignment horizontal="right"/>
    </xf>
    <xf numFmtId="3" fontId="62" fillId="82" borderId="0" xfId="0" applyNumberFormat="1" applyFont="1" applyFill="1" applyAlignment="1">
      <alignment horizontal="right"/>
    </xf>
    <xf numFmtId="0" fontId="62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0" fillId="48" borderId="0" xfId="0" applyFont="1" applyFill="1"/>
    <xf numFmtId="3" fontId="61" fillId="48" borderId="0" xfId="0" applyNumberFormat="1" applyFont="1" applyFill="1"/>
    <xf numFmtId="0" fontId="67" fillId="0" borderId="0" xfId="0" applyFont="1"/>
    <xf numFmtId="3" fontId="61" fillId="74" borderId="0" xfId="0" applyNumberFormat="1" applyFont="1" applyFill="1"/>
    <xf numFmtId="0" fontId="62" fillId="37" borderId="0" xfId="0" applyFont="1" applyFill="1"/>
    <xf numFmtId="0" fontId="62" fillId="49" borderId="0" xfId="0" applyFont="1" applyFill="1"/>
    <xf numFmtId="0" fontId="62" fillId="45" borderId="0" xfId="0" applyFont="1" applyFill="1"/>
    <xf numFmtId="0" fontId="62" fillId="47" borderId="0" xfId="0" applyFont="1" applyFill="1"/>
    <xf numFmtId="3" fontId="61" fillId="74" borderId="1" xfId="0" applyNumberFormat="1" applyFont="1" applyFill="1" applyBorder="1"/>
    <xf numFmtId="3" fontId="61" fillId="81" borderId="1" xfId="0" applyNumberFormat="1" applyFont="1" applyFill="1" applyBorder="1"/>
    <xf numFmtId="3" fontId="61" fillId="72" borderId="1" xfId="0" applyNumberFormat="1" applyFont="1" applyFill="1" applyBorder="1"/>
    <xf numFmtId="3" fontId="61" fillId="77" borderId="1" xfId="0" applyNumberFormat="1" applyFont="1" applyFill="1" applyBorder="1"/>
    <xf numFmtId="3" fontId="61" fillId="81" borderId="0" xfId="0" applyNumberFormat="1" applyFont="1" applyFill="1"/>
    <xf numFmtId="3" fontId="61" fillId="66" borderId="0" xfId="0" applyNumberFormat="1" applyFont="1" applyFill="1"/>
    <xf numFmtId="3" fontId="61" fillId="61" borderId="0" xfId="0" applyNumberFormat="1" applyFont="1" applyFill="1"/>
    <xf numFmtId="3" fontId="61" fillId="76" borderId="0" xfId="0" applyNumberFormat="1" applyFont="1" applyFill="1"/>
    <xf numFmtId="0" fontId="62" fillId="48" borderId="0" xfId="0" applyFont="1" applyFill="1"/>
    <xf numFmtId="3" fontId="61" fillId="83" borderId="0" xfId="0" applyNumberFormat="1" applyFont="1" applyFill="1"/>
    <xf numFmtId="3" fontId="61" fillId="84" borderId="0" xfId="0" applyNumberFormat="1" applyFont="1" applyFill="1"/>
    <xf numFmtId="0" fontId="64" fillId="0" borderId="14" xfId="0" applyFont="1" applyBorder="1"/>
    <xf numFmtId="3" fontId="61" fillId="0" borderId="14" xfId="0" applyNumberFormat="1" applyFont="1" applyBorder="1"/>
    <xf numFmtId="0" fontId="62" fillId="0" borderId="14" xfId="0" applyFont="1" applyBorder="1"/>
    <xf numFmtId="0" fontId="61" fillId="38" borderId="0" xfId="0" applyFont="1" applyFill="1"/>
    <xf numFmtId="3" fontId="61" fillId="38" borderId="0" xfId="0" applyNumberFormat="1" applyFont="1" applyFill="1"/>
    <xf numFmtId="3" fontId="61" fillId="45" borderId="0" xfId="0" applyNumberFormat="1" applyFont="1" applyFill="1"/>
    <xf numFmtId="3" fontId="62" fillId="48" borderId="0" xfId="0" applyNumberFormat="1" applyFont="1" applyFill="1"/>
    <xf numFmtId="3" fontId="62" fillId="45" borderId="0" xfId="0" applyNumberFormat="1" applyFont="1" applyFill="1"/>
    <xf numFmtId="3" fontId="68" fillId="48" borderId="0" xfId="0" applyNumberFormat="1" applyFont="1" applyFill="1"/>
    <xf numFmtId="3" fontId="61" fillId="48" borderId="1" xfId="0" applyNumberFormat="1" applyFont="1" applyFill="1" applyBorder="1"/>
    <xf numFmtId="3" fontId="61" fillId="45" borderId="1" xfId="0" applyNumberFormat="1" applyFont="1" applyFill="1" applyBorder="1"/>
    <xf numFmtId="0" fontId="60" fillId="38" borderId="0" xfId="0" applyFont="1" applyFill="1"/>
    <xf numFmtId="0" fontId="68" fillId="0" borderId="1" xfId="0" applyFont="1" applyBorder="1"/>
    <xf numFmtId="0" fontId="68" fillId="38" borderId="0" xfId="0" applyFont="1" applyFill="1"/>
    <xf numFmtId="3" fontId="62" fillId="38" borderId="0" xfId="0" applyNumberFormat="1" applyFont="1" applyFill="1"/>
    <xf numFmtId="0" fontId="68" fillId="0" borderId="0" xfId="0" applyFont="1" applyAlignment="1">
      <alignment wrapText="1"/>
    </xf>
    <xf numFmtId="3" fontId="62" fillId="0" borderId="0" xfId="0" applyNumberFormat="1" applyFont="1"/>
    <xf numFmtId="0" fontId="68" fillId="0" borderId="0" xfId="0" applyFont="1"/>
    <xf numFmtId="3" fontId="60" fillId="0" borderId="0" xfId="0" applyNumberFormat="1" applyFont="1"/>
    <xf numFmtId="0" fontId="69" fillId="0" borderId="0" xfId="0" applyFont="1"/>
    <xf numFmtId="165" fontId="60" fillId="0" borderId="0" xfId="0" applyNumberFormat="1" applyFont="1"/>
    <xf numFmtId="166" fontId="60" fillId="0" borderId="0" xfId="0" applyNumberFormat="1" applyFont="1"/>
    <xf numFmtId="0" fontId="70" fillId="0" borderId="0" xfId="0" applyFont="1"/>
    <xf numFmtId="0" fontId="59" fillId="54" borderId="0" xfId="0" applyFont="1" applyFill="1" applyAlignment="1">
      <alignment horizontal="left" vertical="center"/>
    </xf>
    <xf numFmtId="0" fontId="61" fillId="0" borderId="1" xfId="0" applyFont="1" applyBorder="1"/>
    <xf numFmtId="3" fontId="61" fillId="67" borderId="1" xfId="0" applyNumberFormat="1" applyFont="1" applyFill="1" applyBorder="1"/>
    <xf numFmtId="0" fontId="61" fillId="38" borderId="16" xfId="0" applyFont="1" applyFill="1" applyBorder="1" applyAlignment="1">
      <alignment horizontal="center"/>
    </xf>
    <xf numFmtId="1" fontId="61" fillId="38" borderId="16" xfId="0" applyNumberFormat="1" applyFont="1" applyFill="1" applyBorder="1" applyAlignment="1">
      <alignment horizontal="center"/>
    </xf>
    <xf numFmtId="0" fontId="61" fillId="41" borderId="0" xfId="0" applyFont="1" applyFill="1" applyAlignment="1">
      <alignment horizontal="center"/>
    </xf>
    <xf numFmtId="3" fontId="61" fillId="41" borderId="0" xfId="0" applyNumberFormat="1" applyFont="1" applyFill="1"/>
    <xf numFmtId="3" fontId="62" fillId="41" borderId="0" xfId="0" applyNumberFormat="1" applyFont="1" applyFill="1"/>
    <xf numFmtId="3" fontId="71" fillId="41" borderId="0" xfId="0" applyNumberFormat="1" applyFont="1" applyFill="1"/>
    <xf numFmtId="3" fontId="68" fillId="41" borderId="0" xfId="0" applyNumberFormat="1" applyFont="1" applyFill="1"/>
    <xf numFmtId="3" fontId="61" fillId="41" borderId="1" xfId="0" applyNumberFormat="1" applyFont="1" applyFill="1" applyBorder="1"/>
    <xf numFmtId="1" fontId="61" fillId="0" borderId="0" xfId="0" applyNumberFormat="1" applyFont="1" applyAlignment="1">
      <alignment horizontal="center"/>
    </xf>
    <xf numFmtId="3" fontId="68" fillId="0" borderId="0" xfId="0" applyNumberFormat="1" applyFont="1"/>
    <xf numFmtId="3" fontId="61" fillId="0" borderId="1" xfId="0" applyNumberFormat="1" applyFont="1" applyBorder="1"/>
    <xf numFmtId="0" fontId="61" fillId="85" borderId="0" xfId="0" applyFont="1" applyFill="1" applyAlignment="1">
      <alignment horizontal="center"/>
    </xf>
    <xf numFmtId="3" fontId="61" fillId="85" borderId="0" xfId="0" applyNumberFormat="1" applyFont="1" applyFill="1"/>
    <xf numFmtId="3" fontId="62" fillId="85" borderId="0" xfId="0" applyNumberFormat="1" applyFont="1" applyFill="1"/>
    <xf numFmtId="3" fontId="61" fillId="85" borderId="1" xfId="0" applyNumberFormat="1" applyFont="1" applyFill="1" applyBorder="1"/>
    <xf numFmtId="3" fontId="61" fillId="0" borderId="15" xfId="0" applyNumberFormat="1" applyFont="1" applyBorder="1"/>
    <xf numFmtId="0" fontId="71" fillId="0" borderId="0" xfId="0" applyFont="1"/>
    <xf numFmtId="0" fontId="71" fillId="0" borderId="0" xfId="0" applyFont="1" applyAlignment="1">
      <alignment wrapText="1"/>
    </xf>
    <xf numFmtId="3" fontId="65" fillId="0" borderId="0" xfId="0" applyNumberFormat="1" applyFont="1"/>
    <xf numFmtId="0" fontId="61" fillId="0" borderId="14" xfId="0" applyFont="1" applyBorder="1"/>
    <xf numFmtId="3" fontId="71" fillId="0" borderId="0" xfId="0" applyNumberFormat="1" applyFont="1"/>
    <xf numFmtId="0" fontId="71" fillId="0" borderId="1" xfId="0" applyFont="1" applyBorder="1"/>
    <xf numFmtId="0" fontId="71" fillId="38" borderId="0" xfId="0" applyFont="1" applyFill="1"/>
    <xf numFmtId="0" fontId="73" fillId="0" borderId="0" xfId="0" applyFont="1"/>
    <xf numFmtId="165" fontId="65" fillId="0" borderId="0" xfId="0" applyNumberFormat="1" applyFont="1"/>
    <xf numFmtId="166" fontId="65" fillId="0" borderId="0" xfId="0" applyNumberFormat="1" applyFont="1"/>
    <xf numFmtId="0" fontId="65" fillId="0" borderId="0" xfId="0" applyFont="1" applyAlignment="1">
      <alignment wrapText="1"/>
    </xf>
    <xf numFmtId="0" fontId="62" fillId="0" borderId="0" xfId="0" applyFont="1" applyAlignment="1">
      <alignment wrapText="1"/>
    </xf>
    <xf numFmtId="0" fontId="61" fillId="0" borderId="1" xfId="0" applyFont="1" applyBorder="1" applyAlignment="1">
      <alignment horizontal="center"/>
    </xf>
    <xf numFmtId="1" fontId="61" fillId="0" borderId="1" xfId="0" applyNumberFormat="1" applyFont="1" applyBorder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wrapText="1"/>
    </xf>
    <xf numFmtId="3" fontId="62" fillId="0" borderId="0" xfId="0" applyNumberFormat="1" applyFont="1" applyAlignment="1">
      <alignment horizontal="right"/>
    </xf>
    <xf numFmtId="3" fontId="61" fillId="0" borderId="17" xfId="0" applyNumberFormat="1" applyFont="1" applyBorder="1"/>
    <xf numFmtId="0" fontId="61" fillId="86" borderId="1" xfId="0" applyFont="1" applyFill="1" applyBorder="1" applyAlignment="1">
      <alignment horizontal="center"/>
    </xf>
    <xf numFmtId="3" fontId="62" fillId="86" borderId="0" xfId="0" applyNumberFormat="1" applyFont="1" applyFill="1"/>
    <xf numFmtId="0" fontId="61" fillId="86" borderId="0" xfId="0" applyFont="1" applyFill="1" applyAlignment="1">
      <alignment horizontal="center"/>
    </xf>
    <xf numFmtId="3" fontId="61" fillId="86" borderId="0" xfId="0" applyNumberFormat="1" applyFont="1" applyFill="1"/>
    <xf numFmtId="0" fontId="62" fillId="86" borderId="0" xfId="0" applyFont="1" applyFill="1"/>
    <xf numFmtId="3" fontId="61" fillId="86" borderId="17" xfId="0" applyNumberFormat="1" applyFont="1" applyFill="1" applyBorder="1"/>
    <xf numFmtId="3" fontId="71" fillId="86" borderId="0" xfId="0" applyNumberFormat="1" applyFont="1" applyFill="1"/>
    <xf numFmtId="3" fontId="61" fillId="86" borderId="1" xfId="0" applyNumberFormat="1" applyFont="1" applyFill="1" applyBorder="1"/>
    <xf numFmtId="0" fontId="72" fillId="0" borderId="0" xfId="0" applyFont="1" applyAlignment="1">
      <alignment horizontal="left"/>
    </xf>
    <xf numFmtId="0" fontId="74" fillId="0" borderId="0" xfId="0" applyFont="1"/>
    <xf numFmtId="0" fontId="75" fillId="0" borderId="0" xfId="0" applyFont="1" applyAlignment="1">
      <alignment horizontal="left" vertical="center"/>
    </xf>
    <xf numFmtId="0" fontId="61" fillId="38" borderId="0" xfId="0" applyFont="1" applyFill="1" applyAlignment="1">
      <alignment horizontal="center"/>
    </xf>
    <xf numFmtId="1" fontId="61" fillId="38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pivotButton="1"/>
    <xf numFmtId="0" fontId="77" fillId="0" borderId="0" xfId="0" applyFont="1"/>
    <xf numFmtId="0" fontId="76" fillId="0" borderId="0" xfId="0" applyFont="1" applyAlignment="1">
      <alignment horizontal="left"/>
    </xf>
    <xf numFmtId="3" fontId="16" fillId="0" borderId="0" xfId="0" applyNumberFormat="1" applyFont="1"/>
    <xf numFmtId="0" fontId="0" fillId="0" borderId="0" xfId="0" applyAlignment="1">
      <alignment wrapText="1"/>
    </xf>
    <xf numFmtId="0" fontId="78" fillId="38" borderId="0" xfId="0" applyFont="1" applyFill="1" applyAlignment="1">
      <alignment wrapText="1"/>
    </xf>
    <xf numFmtId="3" fontId="78" fillId="38" borderId="0" xfId="0" applyNumberFormat="1" applyFont="1" applyFill="1"/>
    <xf numFmtId="0" fontId="79" fillId="0" borderId="0" xfId="0" applyFont="1"/>
    <xf numFmtId="0" fontId="71" fillId="0" borderId="0" xfId="0" applyFont="1" applyAlignment="1">
      <alignment vertical="center"/>
    </xf>
    <xf numFmtId="4" fontId="71" fillId="0" borderId="0" xfId="0" applyNumberFormat="1" applyFont="1" applyAlignment="1">
      <alignment horizontal="right" vertical="center"/>
    </xf>
    <xf numFmtId="0" fontId="71" fillId="0" borderId="0" xfId="0" applyFont="1" applyAlignment="1">
      <alignment horizontal="right" vertical="center"/>
    </xf>
    <xf numFmtId="0" fontId="80" fillId="60" borderId="0" xfId="0" applyFont="1" applyFill="1" applyAlignment="1">
      <alignment vertical="center"/>
    </xf>
    <xf numFmtId="4" fontId="80" fillId="60" borderId="0" xfId="0" applyNumberFormat="1" applyFont="1" applyFill="1" applyAlignment="1">
      <alignment horizontal="right" vertical="center"/>
    </xf>
    <xf numFmtId="4" fontId="68" fillId="0" borderId="0" xfId="0" applyNumberFormat="1" applyFont="1"/>
    <xf numFmtId="0" fontId="81" fillId="0" borderId="0" xfId="0" applyFont="1" applyAlignment="1">
      <alignment vertical="center"/>
    </xf>
    <xf numFmtId="4" fontId="81" fillId="0" borderId="0" xfId="0" applyNumberFormat="1" applyFont="1" applyAlignment="1">
      <alignment horizontal="right" vertical="center"/>
    </xf>
    <xf numFmtId="4" fontId="82" fillId="0" borderId="0" xfId="0" applyNumberFormat="1" applyFont="1" applyAlignment="1">
      <alignment horizontal="right" vertical="center"/>
    </xf>
    <xf numFmtId="0" fontId="21" fillId="53" borderId="0" xfId="0" applyFont="1" applyFill="1"/>
    <xf numFmtId="3" fontId="21" fillId="41" borderId="0" xfId="0" applyNumberFormat="1" applyFont="1" applyFill="1"/>
    <xf numFmtId="3" fontId="21" fillId="50" borderId="0" xfId="0" applyNumberFormat="1" applyFont="1" applyFill="1"/>
    <xf numFmtId="4" fontId="21" fillId="0" borderId="0" xfId="0" applyNumberFormat="1" applyFont="1"/>
    <xf numFmtId="3" fontId="62" fillId="33" borderId="0" xfId="0" applyNumberFormat="1" applyFont="1" applyFill="1"/>
    <xf numFmtId="0" fontId="61" fillId="86" borderId="0" xfId="0" applyFont="1" applyFill="1" applyAlignment="1">
      <alignment horizontal="center" wrapText="1"/>
    </xf>
    <xf numFmtId="0" fontId="61" fillId="0" borderId="14" xfId="0" applyFont="1" applyBorder="1" applyAlignment="1">
      <alignment horizontal="center" wrapText="1"/>
    </xf>
    <xf numFmtId="0" fontId="61" fillId="36" borderId="0" xfId="0" applyFont="1" applyFill="1" applyAlignment="1">
      <alignment horizontal="center"/>
    </xf>
    <xf numFmtId="0" fontId="61" fillId="36" borderId="1" xfId="0" applyFont="1" applyFill="1" applyBorder="1" applyAlignment="1">
      <alignment horizontal="center"/>
    </xf>
    <xf numFmtId="3" fontId="62" fillId="36" borderId="0" xfId="0" applyNumberFormat="1" applyFont="1" applyFill="1"/>
    <xf numFmtId="3" fontId="61" fillId="36" borderId="0" xfId="0" applyNumberFormat="1" applyFont="1" applyFill="1"/>
    <xf numFmtId="3" fontId="62" fillId="36" borderId="0" xfId="0" applyNumberFormat="1" applyFont="1" applyFill="1" applyAlignment="1">
      <alignment horizontal="right"/>
    </xf>
    <xf numFmtId="3" fontId="61" fillId="36" borderId="1" xfId="0" applyNumberFormat="1" applyFont="1" applyFill="1" applyBorder="1"/>
    <xf numFmtId="0" fontId="62" fillId="36" borderId="0" xfId="0" applyFont="1" applyFill="1"/>
    <xf numFmtId="3" fontId="61" fillId="36" borderId="17" xfId="0" applyNumberFormat="1" applyFont="1" applyFill="1" applyBorder="1"/>
    <xf numFmtId="0" fontId="61" fillId="60" borderId="0" xfId="0" applyFont="1" applyFill="1" applyAlignment="1">
      <alignment horizontal="center" wrapText="1"/>
    </xf>
    <xf numFmtId="1" fontId="61" fillId="60" borderId="1" xfId="0" applyNumberFormat="1" applyFont="1" applyFill="1" applyBorder="1" applyAlignment="1">
      <alignment horizontal="center"/>
    </xf>
    <xf numFmtId="3" fontId="83" fillId="60" borderId="0" xfId="0" applyNumberFormat="1" applyFont="1" applyFill="1"/>
    <xf numFmtId="3" fontId="61" fillId="60" borderId="0" xfId="0" applyNumberFormat="1" applyFont="1" applyFill="1"/>
    <xf numFmtId="3" fontId="62" fillId="60" borderId="0" xfId="0" applyNumberFormat="1" applyFont="1" applyFill="1"/>
    <xf numFmtId="3" fontId="84" fillId="60" borderId="0" xfId="0" applyNumberFormat="1" applyFont="1" applyFill="1" applyAlignment="1">
      <alignment horizontal="right" vertical="top" wrapText="1"/>
    </xf>
    <xf numFmtId="3" fontId="61" fillId="60" borderId="1" xfId="0" applyNumberFormat="1" applyFont="1" applyFill="1" applyBorder="1"/>
    <xf numFmtId="0" fontId="62" fillId="60" borderId="0" xfId="0" applyFont="1" applyFill="1"/>
    <xf numFmtId="3" fontId="61" fillId="60" borderId="17" xfId="0" applyNumberFormat="1" applyFont="1" applyFill="1" applyBorder="1"/>
    <xf numFmtId="0" fontId="85" fillId="0" borderId="0" xfId="0" applyFont="1"/>
    <xf numFmtId="0" fontId="61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0" fontId="86" fillId="0" borderId="0" xfId="0" applyFont="1"/>
    <xf numFmtId="0" fontId="87" fillId="0" borderId="0" xfId="0" applyFont="1"/>
    <xf numFmtId="4" fontId="65" fillId="0" borderId="0" xfId="0" applyNumberFormat="1" applyFont="1"/>
    <xf numFmtId="3" fontId="89" fillId="36" borderId="0" xfId="0" applyNumberFormat="1" applyFont="1" applyFill="1"/>
    <xf numFmtId="3" fontId="89" fillId="0" borderId="0" xfId="0" applyNumberFormat="1" applyFont="1"/>
    <xf numFmtId="3" fontId="89" fillId="60" borderId="0" xfId="0" applyNumberFormat="1" applyFont="1" applyFill="1"/>
    <xf numFmtId="3" fontId="89" fillId="86" borderId="0" xfId="0" applyNumberFormat="1" applyFont="1" applyFill="1"/>
    <xf numFmtId="49" fontId="32" fillId="39" borderId="19" xfId="0" applyNumberFormat="1" applyFont="1" applyFill="1" applyBorder="1"/>
    <xf numFmtId="49" fontId="32" fillId="39" borderId="18" xfId="0" applyNumberFormat="1" applyFont="1" applyFill="1" applyBorder="1"/>
    <xf numFmtId="49" fontId="32" fillId="39" borderId="20" xfId="0" applyNumberFormat="1" applyFont="1" applyFill="1" applyBorder="1"/>
    <xf numFmtId="3" fontId="16" fillId="41" borderId="0" xfId="0" applyNumberFormat="1" applyFont="1" applyFill="1"/>
    <xf numFmtId="3" fontId="72" fillId="0" borderId="0" xfId="0" applyNumberFormat="1" applyFont="1" applyAlignment="1">
      <alignment horizontal="left"/>
    </xf>
    <xf numFmtId="3" fontId="61" fillId="38" borderId="0" xfId="0" applyNumberFormat="1" applyFont="1" applyFill="1" applyAlignment="1">
      <alignment horizontal="center"/>
    </xf>
    <xf numFmtId="3" fontId="61" fillId="86" borderId="0" xfId="0" applyNumberFormat="1" applyFont="1" applyFill="1" applyAlignment="1">
      <alignment horizontal="center"/>
    </xf>
    <xf numFmtId="49" fontId="93" fillId="39" borderId="0" xfId="0" applyNumberFormat="1" applyFont="1" applyFill="1"/>
    <xf numFmtId="49" fontId="93" fillId="39" borderId="0" xfId="181" applyNumberFormat="1" applyFont="1" applyFill="1"/>
    <xf numFmtId="49" fontId="88" fillId="0" borderId="0" xfId="181" applyNumberFormat="1"/>
    <xf numFmtId="4" fontId="88" fillId="0" borderId="0" xfId="181" applyNumberFormat="1"/>
    <xf numFmtId="49" fontId="0" fillId="0" borderId="0" xfId="0" applyNumberFormat="1"/>
    <xf numFmtId="3" fontId="61" fillId="38" borderId="0" xfId="0" applyNumberFormat="1" applyFont="1" applyFill="1" applyAlignment="1">
      <alignment horizontal="center" wrapText="1"/>
    </xf>
    <xf numFmtId="1" fontId="61" fillId="38" borderId="1" xfId="0" applyNumberFormat="1" applyFont="1" applyFill="1" applyBorder="1" applyAlignment="1">
      <alignment horizontal="center"/>
    </xf>
    <xf numFmtId="3" fontId="62" fillId="38" borderId="0" xfId="181" applyNumberFormat="1" applyFont="1" applyFill="1"/>
    <xf numFmtId="3" fontId="61" fillId="38" borderId="1" xfId="0" applyNumberFormat="1" applyFont="1" applyFill="1" applyBorder="1"/>
    <xf numFmtId="3" fontId="61" fillId="38" borderId="17" xfId="0" applyNumberFormat="1" applyFont="1" applyFill="1" applyBorder="1"/>
    <xf numFmtId="3" fontId="94" fillId="0" borderId="0" xfId="0" applyNumberFormat="1" applyFont="1"/>
    <xf numFmtId="165" fontId="65" fillId="36" borderId="0" xfId="0" applyNumberFormat="1" applyFont="1" applyFill="1"/>
    <xf numFmtId="3" fontId="65" fillId="36" borderId="0" xfId="0" applyNumberFormat="1" applyFont="1" applyFill="1"/>
    <xf numFmtId="0" fontId="65" fillId="36" borderId="0" xfId="0" applyFont="1" applyFill="1"/>
    <xf numFmtId="3" fontId="90" fillId="38" borderId="0" xfId="0" applyNumberFormat="1" applyFont="1" applyFill="1"/>
    <xf numFmtId="3" fontId="91" fillId="38" borderId="0" xfId="0" applyNumberFormat="1" applyFont="1" applyFill="1"/>
    <xf numFmtId="3" fontId="92" fillId="38" borderId="0" xfId="0" applyNumberFormat="1" applyFont="1" applyFill="1"/>
    <xf numFmtId="14" fontId="61" fillId="0" borderId="1" xfId="0" applyNumberFormat="1" applyFont="1" applyBorder="1" applyAlignment="1">
      <alignment horizontal="center"/>
    </xf>
    <xf numFmtId="0" fontId="61" fillId="0" borderId="17" xfId="0" applyFont="1" applyBorder="1"/>
    <xf numFmtId="0" fontId="65" fillId="0" borderId="1" xfId="0" applyFont="1" applyBorder="1"/>
    <xf numFmtId="166" fontId="65" fillId="0" borderId="1" xfId="0" applyNumberFormat="1" applyFont="1" applyBorder="1"/>
    <xf numFmtId="166" fontId="65" fillId="36" borderId="1" xfId="0" applyNumberFormat="1" applyFont="1" applyFill="1" applyBorder="1"/>
    <xf numFmtId="0" fontId="65" fillId="36" borderId="1" xfId="0" applyFont="1" applyFill="1" applyBorder="1"/>
    <xf numFmtId="3" fontId="65" fillId="36" borderId="1" xfId="0" applyNumberFormat="1" applyFont="1" applyFill="1" applyBorder="1"/>
    <xf numFmtId="4" fontId="65" fillId="0" borderId="1" xfId="0" applyNumberFormat="1" applyFont="1" applyBorder="1"/>
    <xf numFmtId="3" fontId="62" fillId="86" borderId="1" xfId="0" applyNumberFormat="1" applyFont="1" applyFill="1" applyBorder="1"/>
    <xf numFmtId="3" fontId="62" fillId="0" borderId="1" xfId="0" applyNumberFormat="1" applyFont="1" applyBorder="1"/>
    <xf numFmtId="4" fontId="27" fillId="0" borderId="0" xfId="0" applyNumberFormat="1" applyFont="1"/>
    <xf numFmtId="0" fontId="42" fillId="0" borderId="0" xfId="0" applyFont="1"/>
    <xf numFmtId="3" fontId="95" fillId="0" borderId="0" xfId="0" applyNumberFormat="1" applyFont="1"/>
    <xf numFmtId="49" fontId="1" fillId="87" borderId="19" xfId="0" applyNumberFormat="1" applyFont="1" applyFill="1" applyBorder="1"/>
    <xf numFmtId="49" fontId="1" fillId="87" borderId="18" xfId="0" applyNumberFormat="1" applyFont="1" applyFill="1" applyBorder="1"/>
    <xf numFmtId="4" fontId="1" fillId="87" borderId="18" xfId="0" applyNumberFormat="1" applyFont="1" applyFill="1" applyBorder="1"/>
    <xf numFmtId="49" fontId="1" fillId="87" borderId="20" xfId="0" applyNumberFormat="1" applyFont="1" applyFill="1" applyBorder="1"/>
    <xf numFmtId="49" fontId="1" fillId="0" borderId="19" xfId="0" applyNumberFormat="1" applyFont="1" applyBorder="1"/>
    <xf numFmtId="49" fontId="1" fillId="0" borderId="18" xfId="0" applyNumberFormat="1" applyFont="1" applyBorder="1"/>
    <xf numFmtId="4" fontId="1" fillId="0" borderId="18" xfId="0" applyNumberFormat="1" applyFont="1" applyBorder="1"/>
    <xf numFmtId="49" fontId="1" fillId="0" borderId="20" xfId="0" applyNumberFormat="1" applyFont="1" applyBorder="1"/>
    <xf numFmtId="3" fontId="94" fillId="86" borderId="0" xfId="0" applyNumberFormat="1" applyFont="1" applyFill="1"/>
    <xf numFmtId="14" fontId="0" fillId="33" borderId="0" xfId="0" applyNumberFormat="1" applyFill="1"/>
    <xf numFmtId="4" fontId="1" fillId="88" borderId="18" xfId="0" applyNumberFormat="1" applyFont="1" applyFill="1" applyBorder="1"/>
    <xf numFmtId="4" fontId="1" fillId="33" borderId="18" xfId="0" applyNumberFormat="1" applyFont="1" applyFill="1" applyBorder="1"/>
    <xf numFmtId="14" fontId="1" fillId="87" borderId="19" xfId="0" applyNumberFormat="1" applyFont="1" applyFill="1" applyBorder="1"/>
    <xf numFmtId="14" fontId="1" fillId="87" borderId="18" xfId="0" applyNumberFormat="1" applyFont="1" applyFill="1" applyBorder="1"/>
    <xf numFmtId="1" fontId="1" fillId="87" borderId="18" xfId="0" applyNumberFormat="1" applyFont="1" applyFill="1" applyBorder="1"/>
    <xf numFmtId="14" fontId="1" fillId="0" borderId="19" xfId="0" applyNumberFormat="1" applyFont="1" applyBorder="1"/>
    <xf numFmtId="14" fontId="1" fillId="0" borderId="18" xfId="0" applyNumberFormat="1" applyFont="1" applyBorder="1"/>
    <xf numFmtId="1" fontId="1" fillId="0" borderId="18" xfId="0" applyNumberFormat="1" applyFont="1" applyBorder="1"/>
    <xf numFmtId="3" fontId="65" fillId="0" borderId="1" xfId="0" applyNumberFormat="1" applyFont="1" applyBorder="1"/>
    <xf numFmtId="0" fontId="61" fillId="42" borderId="0" xfId="0" applyFont="1" applyFill="1" applyAlignment="1">
      <alignment horizontal="center" wrapText="1"/>
    </xf>
    <xf numFmtId="0" fontId="61" fillId="42" borderId="1" xfId="0" applyFont="1" applyFill="1" applyBorder="1" applyAlignment="1">
      <alignment horizontal="center"/>
    </xf>
    <xf numFmtId="3" fontId="62" fillId="42" borderId="0" xfId="0" applyNumberFormat="1" applyFont="1" applyFill="1"/>
    <xf numFmtId="3" fontId="61" fillId="42" borderId="0" xfId="0" applyNumberFormat="1" applyFont="1" applyFill="1"/>
    <xf numFmtId="3" fontId="94" fillId="42" borderId="0" xfId="0" applyNumberFormat="1" applyFont="1" applyFill="1"/>
    <xf numFmtId="3" fontId="61" fillId="42" borderId="1" xfId="0" applyNumberFormat="1" applyFont="1" applyFill="1" applyBorder="1"/>
    <xf numFmtId="0" fontId="62" fillId="42" borderId="0" xfId="0" applyFont="1" applyFill="1"/>
    <xf numFmtId="3" fontId="61" fillId="42" borderId="17" xfId="0" applyNumberFormat="1" applyFont="1" applyFill="1" applyBorder="1"/>
    <xf numFmtId="3" fontId="62" fillId="42" borderId="1" xfId="0" applyNumberFormat="1" applyFont="1" applyFill="1" applyBorder="1"/>
    <xf numFmtId="3" fontId="95" fillId="42" borderId="0" xfId="0" applyNumberFormat="1" applyFont="1" applyFill="1"/>
    <xf numFmtId="4" fontId="1" fillId="41" borderId="18" xfId="0" applyNumberFormat="1" applyFont="1" applyFill="1" applyBorder="1"/>
    <xf numFmtId="4" fontId="1" fillId="87" borderId="20" xfId="0" applyNumberFormat="1" applyFont="1" applyFill="1" applyBorder="1"/>
    <xf numFmtId="4" fontId="1" fillId="0" borderId="20" xfId="0" applyNumberFormat="1" applyFont="1" applyBorder="1"/>
    <xf numFmtId="4" fontId="1" fillId="40" borderId="18" xfId="0" applyNumberFormat="1" applyFont="1" applyFill="1" applyBorder="1"/>
    <xf numFmtId="3" fontId="95" fillId="0" borderId="17" xfId="0" applyNumberFormat="1" applyFont="1" applyBorder="1"/>
    <xf numFmtId="0" fontId="96" fillId="0" borderId="0" xfId="0" applyFont="1"/>
    <xf numFmtId="3" fontId="62" fillId="0" borderId="15" xfId="0" applyNumberFormat="1" applyFont="1" applyBorder="1"/>
    <xf numFmtId="3" fontId="95" fillId="0" borderId="1" xfId="0" applyNumberFormat="1" applyFont="1" applyBorder="1"/>
    <xf numFmtId="0" fontId="65" fillId="0" borderId="0" xfId="0" applyFont="1" applyAlignment="1">
      <alignment horizontal="left" wrapText="1"/>
    </xf>
    <xf numFmtId="0" fontId="71" fillId="38" borderId="0" xfId="0" applyFont="1" applyFill="1" applyAlignment="1">
      <alignment horizontal="center"/>
    </xf>
  </cellXfs>
  <cellStyles count="182">
    <cellStyle name="20 % - Farve1" xfId="1" builtinId="30" customBuiltin="1"/>
    <cellStyle name="20 % - Farve1 2" xfId="76" xr:uid="{00000000-0005-0000-0000-000001000000}"/>
    <cellStyle name="20 % - Farve1 3" xfId="89" xr:uid="{00000000-0005-0000-0000-000002000000}"/>
    <cellStyle name="20 % - Farve1 4" xfId="102" xr:uid="{00000000-0005-0000-0000-000003000000}"/>
    <cellStyle name="20 % - Farve1 5" xfId="115" xr:uid="{00000000-0005-0000-0000-000077000000}"/>
    <cellStyle name="20 % - Farve1 6" xfId="128" xr:uid="{00000000-0005-0000-0000-000084000000}"/>
    <cellStyle name="20 % - Farve1 7" xfId="141" xr:uid="{69A6F985-F6E0-4B17-B0DA-65BCE61C34B1}"/>
    <cellStyle name="20 % - Farve1 8" xfId="154" xr:uid="{DFCB2A4E-AF5A-47BF-A7B4-8842BA88FC2A}"/>
    <cellStyle name="20 % - Farve1 9" xfId="167" xr:uid="{06C39DB8-674D-4DAF-89A7-A2BBB16E97CD}"/>
    <cellStyle name="20 % - Farve2" xfId="2" builtinId="34" customBuiltin="1"/>
    <cellStyle name="20 % - Farve2 2" xfId="78" xr:uid="{00000000-0005-0000-0000-000005000000}"/>
    <cellStyle name="20 % - Farve2 3" xfId="91" xr:uid="{00000000-0005-0000-0000-000006000000}"/>
    <cellStyle name="20 % - Farve2 4" xfId="104" xr:uid="{00000000-0005-0000-0000-000007000000}"/>
    <cellStyle name="20 % - Farve2 5" xfId="117" xr:uid="{00000000-0005-0000-0000-000078000000}"/>
    <cellStyle name="20 % - Farve2 6" xfId="130" xr:uid="{00000000-0005-0000-0000-000085000000}"/>
    <cellStyle name="20 % - Farve2 7" xfId="143" xr:uid="{E12CBC1F-FC57-421C-8906-1FB24C1C4382}"/>
    <cellStyle name="20 % - Farve2 8" xfId="156" xr:uid="{26065155-26FC-4505-AA80-5B99DB3B5151}"/>
    <cellStyle name="20 % - Farve2 9" xfId="169" xr:uid="{A60910A2-EA92-4B97-A4E1-33A8128435A8}"/>
    <cellStyle name="20 % - Farve3" xfId="3" builtinId="38" customBuiltin="1"/>
    <cellStyle name="20 % - Farve3 2" xfId="80" xr:uid="{00000000-0005-0000-0000-000009000000}"/>
    <cellStyle name="20 % - Farve3 3" xfId="93" xr:uid="{00000000-0005-0000-0000-00000A000000}"/>
    <cellStyle name="20 % - Farve3 4" xfId="106" xr:uid="{00000000-0005-0000-0000-00000B000000}"/>
    <cellStyle name="20 % - Farve3 5" xfId="119" xr:uid="{00000000-0005-0000-0000-000079000000}"/>
    <cellStyle name="20 % - Farve3 6" xfId="132" xr:uid="{00000000-0005-0000-0000-000086000000}"/>
    <cellStyle name="20 % - Farve3 7" xfId="145" xr:uid="{4E6FCA9C-61D2-4F42-AB80-601EEBEB6455}"/>
    <cellStyle name="20 % - Farve3 8" xfId="158" xr:uid="{865AE4AF-43C5-4D5B-B5CB-82BF0EB14605}"/>
    <cellStyle name="20 % - Farve3 9" xfId="171" xr:uid="{BE25DD27-DF79-43D0-8D86-31C6C0F93C38}"/>
    <cellStyle name="20 % - Farve4" xfId="4" builtinId="42" customBuiltin="1"/>
    <cellStyle name="20 % - Farve4 2" xfId="82" xr:uid="{00000000-0005-0000-0000-00000D000000}"/>
    <cellStyle name="20 % - Farve4 3" xfId="95" xr:uid="{00000000-0005-0000-0000-00000E000000}"/>
    <cellStyle name="20 % - Farve4 4" xfId="108" xr:uid="{00000000-0005-0000-0000-00000F000000}"/>
    <cellStyle name="20 % - Farve4 5" xfId="121" xr:uid="{00000000-0005-0000-0000-00007A000000}"/>
    <cellStyle name="20 % - Farve4 6" xfId="134" xr:uid="{00000000-0005-0000-0000-000087000000}"/>
    <cellStyle name="20 % - Farve4 7" xfId="147" xr:uid="{1341DA2D-AEC4-4358-8E9E-545D227CB341}"/>
    <cellStyle name="20 % - Farve4 8" xfId="160" xr:uid="{CDD173E5-3A3E-4AD8-9F66-C27A3D59D38A}"/>
    <cellStyle name="20 % - Farve4 9" xfId="173" xr:uid="{1D697BBD-1B5E-4B6E-A07A-A2D3325EDCBE}"/>
    <cellStyle name="20 % - Farve5" xfId="5" builtinId="46" customBuiltin="1"/>
    <cellStyle name="20 % - Farve5 2" xfId="84" xr:uid="{00000000-0005-0000-0000-000011000000}"/>
    <cellStyle name="20 % - Farve5 3" xfId="97" xr:uid="{00000000-0005-0000-0000-000012000000}"/>
    <cellStyle name="20 % - Farve5 4" xfId="110" xr:uid="{00000000-0005-0000-0000-000013000000}"/>
    <cellStyle name="20 % - Farve5 5" xfId="123" xr:uid="{00000000-0005-0000-0000-00007B000000}"/>
    <cellStyle name="20 % - Farve5 6" xfId="136" xr:uid="{00000000-0005-0000-0000-000088000000}"/>
    <cellStyle name="20 % - Farve5 7" xfId="149" xr:uid="{2BA2DB4F-E5C4-4BA8-AF27-209A9E5EC215}"/>
    <cellStyle name="20 % - Farve5 8" xfId="162" xr:uid="{BEE93215-66AC-4757-A2E4-D959C74C2F75}"/>
    <cellStyle name="20 % - Farve5 9" xfId="175" xr:uid="{52CEA482-DD1A-400D-9585-BFFEF69CE5AA}"/>
    <cellStyle name="20 % - Farve6" xfId="6" builtinId="50" customBuiltin="1"/>
    <cellStyle name="20 % - Farve6 2" xfId="86" xr:uid="{00000000-0005-0000-0000-000015000000}"/>
    <cellStyle name="20 % - Farve6 3" xfId="99" xr:uid="{00000000-0005-0000-0000-000016000000}"/>
    <cellStyle name="20 % - Farve6 4" xfId="112" xr:uid="{00000000-0005-0000-0000-000017000000}"/>
    <cellStyle name="20 % - Farve6 5" xfId="125" xr:uid="{00000000-0005-0000-0000-00007C000000}"/>
    <cellStyle name="20 % - Farve6 6" xfId="138" xr:uid="{00000000-0005-0000-0000-000089000000}"/>
    <cellStyle name="20 % - Farve6 7" xfId="151" xr:uid="{AD578269-D13C-445A-9BF2-7B16EF683914}"/>
    <cellStyle name="20 % - Farve6 8" xfId="164" xr:uid="{3A232FA0-BC3E-4CFC-94B7-8EB47CA9F15E}"/>
    <cellStyle name="20 % - Farve6 9" xfId="177" xr:uid="{04EAE91A-EA75-4FF2-BF81-AFA84C4504BB}"/>
    <cellStyle name="20 % - Markeringsfarve1 2" xfId="7" xr:uid="{00000000-0005-0000-0000-000018000000}"/>
    <cellStyle name="20 % - Markeringsfarve1 3" xfId="8" xr:uid="{00000000-0005-0000-0000-000019000000}"/>
    <cellStyle name="20 % - Markeringsfarve2 2" xfId="9" xr:uid="{00000000-0005-0000-0000-00001A000000}"/>
    <cellStyle name="20 % - Markeringsfarve2 3" xfId="10" xr:uid="{00000000-0005-0000-0000-00001B000000}"/>
    <cellStyle name="20 % - Markeringsfarve3 2" xfId="11" xr:uid="{00000000-0005-0000-0000-00001C000000}"/>
    <cellStyle name="20 % - Markeringsfarve3 3" xfId="12" xr:uid="{00000000-0005-0000-0000-00001D000000}"/>
    <cellStyle name="20 % - Markeringsfarve4 2" xfId="13" xr:uid="{00000000-0005-0000-0000-00001E000000}"/>
    <cellStyle name="20 % - Markeringsfarve4 3" xfId="14" xr:uid="{00000000-0005-0000-0000-00001F000000}"/>
    <cellStyle name="20 % - Markeringsfarve5 2" xfId="15" xr:uid="{00000000-0005-0000-0000-000020000000}"/>
    <cellStyle name="20 % - Markeringsfarve5 3" xfId="16" xr:uid="{00000000-0005-0000-0000-000021000000}"/>
    <cellStyle name="20 % - Markeringsfarve6 2" xfId="17" xr:uid="{00000000-0005-0000-0000-000022000000}"/>
    <cellStyle name="20 % - Markeringsfarve6 3" xfId="18" xr:uid="{00000000-0005-0000-0000-000023000000}"/>
    <cellStyle name="40 % - Farve1" xfId="19" builtinId="31" customBuiltin="1"/>
    <cellStyle name="40 % - Farve1 2" xfId="77" xr:uid="{00000000-0005-0000-0000-000025000000}"/>
    <cellStyle name="40 % - Farve1 3" xfId="90" xr:uid="{00000000-0005-0000-0000-000026000000}"/>
    <cellStyle name="40 % - Farve1 4" xfId="103" xr:uid="{00000000-0005-0000-0000-000027000000}"/>
    <cellStyle name="40 % - Farve1 5" xfId="116" xr:uid="{00000000-0005-0000-0000-00007D000000}"/>
    <cellStyle name="40 % - Farve1 6" xfId="129" xr:uid="{00000000-0005-0000-0000-00008A000000}"/>
    <cellStyle name="40 % - Farve1 7" xfId="142" xr:uid="{A1D5A1BD-8A9D-42C2-8E5F-5ECFFD900735}"/>
    <cellStyle name="40 % - Farve1 8" xfId="155" xr:uid="{ABA778D8-7B93-4FE2-8EB7-4B762D3B81A4}"/>
    <cellStyle name="40 % - Farve1 9" xfId="168" xr:uid="{49D55C78-4A5D-445F-9FEB-D0DA25A7DA2D}"/>
    <cellStyle name="40 % - Farve2" xfId="20" builtinId="35" customBuiltin="1"/>
    <cellStyle name="40 % - Farve2 2" xfId="79" xr:uid="{00000000-0005-0000-0000-000029000000}"/>
    <cellStyle name="40 % - Farve2 3" xfId="92" xr:uid="{00000000-0005-0000-0000-00002A000000}"/>
    <cellStyle name="40 % - Farve2 4" xfId="105" xr:uid="{00000000-0005-0000-0000-00002B000000}"/>
    <cellStyle name="40 % - Farve2 5" xfId="118" xr:uid="{00000000-0005-0000-0000-00007E000000}"/>
    <cellStyle name="40 % - Farve2 6" xfId="131" xr:uid="{00000000-0005-0000-0000-00008B000000}"/>
    <cellStyle name="40 % - Farve2 7" xfId="144" xr:uid="{E5D92404-71E0-49D3-A672-EC1D71F4E480}"/>
    <cellStyle name="40 % - Farve2 8" xfId="157" xr:uid="{3A720794-D1E5-4CC8-9E79-144865BE46E0}"/>
    <cellStyle name="40 % - Farve2 9" xfId="170" xr:uid="{11670B39-0645-41B4-ADAA-4D4669F2759D}"/>
    <cellStyle name="40 % - Farve3" xfId="21" builtinId="39" customBuiltin="1"/>
    <cellStyle name="40 % - Farve3 2" xfId="81" xr:uid="{00000000-0005-0000-0000-00002D000000}"/>
    <cellStyle name="40 % - Farve3 3" xfId="94" xr:uid="{00000000-0005-0000-0000-00002E000000}"/>
    <cellStyle name="40 % - Farve3 4" xfId="107" xr:uid="{00000000-0005-0000-0000-00002F000000}"/>
    <cellStyle name="40 % - Farve3 5" xfId="120" xr:uid="{00000000-0005-0000-0000-00007F000000}"/>
    <cellStyle name="40 % - Farve3 6" xfId="133" xr:uid="{00000000-0005-0000-0000-00008C000000}"/>
    <cellStyle name="40 % - Farve3 7" xfId="146" xr:uid="{5B0C5F2C-85E1-4C27-BBE8-D39C605E3800}"/>
    <cellStyle name="40 % - Farve3 8" xfId="159" xr:uid="{9CF7E40E-0371-4EAE-BB98-3A0E29734C9D}"/>
    <cellStyle name="40 % - Farve3 9" xfId="172" xr:uid="{BAD25786-94C1-409B-8A7A-AB684A5CEE82}"/>
    <cellStyle name="40 % - Farve4" xfId="22" builtinId="43" customBuiltin="1"/>
    <cellStyle name="40 % - Farve4 2" xfId="83" xr:uid="{00000000-0005-0000-0000-000031000000}"/>
    <cellStyle name="40 % - Farve4 3" xfId="96" xr:uid="{00000000-0005-0000-0000-000032000000}"/>
    <cellStyle name="40 % - Farve4 4" xfId="109" xr:uid="{00000000-0005-0000-0000-000033000000}"/>
    <cellStyle name="40 % - Farve4 5" xfId="122" xr:uid="{00000000-0005-0000-0000-000080000000}"/>
    <cellStyle name="40 % - Farve4 6" xfId="135" xr:uid="{00000000-0005-0000-0000-00008D000000}"/>
    <cellStyle name="40 % - Farve4 7" xfId="148" xr:uid="{B8029449-F0EB-4FA7-B93C-AC46474CA8DD}"/>
    <cellStyle name="40 % - Farve4 8" xfId="161" xr:uid="{BD35B158-716B-495C-895D-127DCC713D67}"/>
    <cellStyle name="40 % - Farve4 9" xfId="174" xr:uid="{6B259121-B100-4368-ABEA-A0D7EBC7B886}"/>
    <cellStyle name="40 % - Farve5" xfId="23" builtinId="47" customBuiltin="1"/>
    <cellStyle name="40 % - Farve5 2" xfId="85" xr:uid="{00000000-0005-0000-0000-000035000000}"/>
    <cellStyle name="40 % - Farve5 3" xfId="98" xr:uid="{00000000-0005-0000-0000-000036000000}"/>
    <cellStyle name="40 % - Farve5 4" xfId="111" xr:uid="{00000000-0005-0000-0000-000037000000}"/>
    <cellStyle name="40 % - Farve5 5" xfId="124" xr:uid="{00000000-0005-0000-0000-000081000000}"/>
    <cellStyle name="40 % - Farve5 6" xfId="137" xr:uid="{00000000-0005-0000-0000-00008E000000}"/>
    <cellStyle name="40 % - Farve5 7" xfId="150" xr:uid="{40FA097B-12C0-4914-B7F5-8CC0F7852454}"/>
    <cellStyle name="40 % - Farve5 8" xfId="163" xr:uid="{33EBC0F3-B08B-481E-AEE5-F4F025E157AB}"/>
    <cellStyle name="40 % - Farve5 9" xfId="176" xr:uid="{3D6E738F-AB1C-4080-BFBF-29C09C39A474}"/>
    <cellStyle name="40 % - Farve6" xfId="24" builtinId="51" customBuiltin="1"/>
    <cellStyle name="40 % - Farve6 2" xfId="87" xr:uid="{00000000-0005-0000-0000-000039000000}"/>
    <cellStyle name="40 % - Farve6 3" xfId="100" xr:uid="{00000000-0005-0000-0000-00003A000000}"/>
    <cellStyle name="40 % - Farve6 4" xfId="113" xr:uid="{00000000-0005-0000-0000-00003B000000}"/>
    <cellStyle name="40 % - Farve6 5" xfId="126" xr:uid="{00000000-0005-0000-0000-000082000000}"/>
    <cellStyle name="40 % - Farve6 6" xfId="139" xr:uid="{00000000-0005-0000-0000-00008F000000}"/>
    <cellStyle name="40 % - Farve6 7" xfId="152" xr:uid="{BBA4B0B5-C150-4323-A19F-93EF55F7C612}"/>
    <cellStyle name="40 % - Farve6 8" xfId="165" xr:uid="{BDA58572-FF0B-4BF9-9C78-1CED47C1FC37}"/>
    <cellStyle name="40 % - Farve6 9" xfId="178" xr:uid="{C84E88C5-213F-4254-8338-147056A0BD39}"/>
    <cellStyle name="40 % - Markeringsfarve1 2" xfId="25" xr:uid="{00000000-0005-0000-0000-00003C000000}"/>
    <cellStyle name="40 % - Markeringsfarve1 3" xfId="26" xr:uid="{00000000-0005-0000-0000-00003D000000}"/>
    <cellStyle name="40 % - Markeringsfarve2 2" xfId="27" xr:uid="{00000000-0005-0000-0000-00003E000000}"/>
    <cellStyle name="40 % - Markeringsfarve2 3" xfId="28" xr:uid="{00000000-0005-0000-0000-00003F000000}"/>
    <cellStyle name="40 % - Markeringsfarve3 2" xfId="29" xr:uid="{00000000-0005-0000-0000-000040000000}"/>
    <cellStyle name="40 % - Markeringsfarve3 3" xfId="30" xr:uid="{00000000-0005-0000-0000-000041000000}"/>
    <cellStyle name="40 % - Markeringsfarve4 2" xfId="31" xr:uid="{00000000-0005-0000-0000-000042000000}"/>
    <cellStyle name="40 % - Markeringsfarve4 3" xfId="32" xr:uid="{00000000-0005-0000-0000-000043000000}"/>
    <cellStyle name="40 % - Markeringsfarve5 2" xfId="33" xr:uid="{00000000-0005-0000-0000-000044000000}"/>
    <cellStyle name="40 % - Markeringsfarve5 3" xfId="34" xr:uid="{00000000-0005-0000-0000-000045000000}"/>
    <cellStyle name="40 % - Markeringsfarve6 2" xfId="35" xr:uid="{00000000-0005-0000-0000-000046000000}"/>
    <cellStyle name="40 % - Markeringsfarve6 3" xfId="36" xr:uid="{00000000-0005-0000-0000-000047000000}"/>
    <cellStyle name="60 % - Farve1" xfId="37" builtinId="32" customBuiltin="1"/>
    <cellStyle name="60 % - Farve2" xfId="38" builtinId="36" customBuiltin="1"/>
    <cellStyle name="60 % - Farve3" xfId="39" builtinId="40" customBuiltin="1"/>
    <cellStyle name="60 % - Farve4" xfId="40" builtinId="44" customBuiltin="1"/>
    <cellStyle name="60 % - Farve5" xfId="41" builtinId="48" customBuiltin="1"/>
    <cellStyle name="60 % - Farve6" xfId="42" builtinId="52" customBuiltin="1"/>
    <cellStyle name="Advarselstekst" xfId="43" builtinId="11" customBuiltin="1"/>
    <cellStyle name="Bemærk! 10" xfId="140" xr:uid="{18B91E5A-FA6F-434F-B01D-2BCD76A26EA5}"/>
    <cellStyle name="Bemærk! 11" xfId="153" xr:uid="{CBDAF35D-98A2-4B91-9841-65862A73D66D}"/>
    <cellStyle name="Bemærk! 12" xfId="166" xr:uid="{785225A8-B8EF-4FD7-8CCB-95E9CA009ACC}"/>
    <cellStyle name="Bemærk! 2" xfId="44" xr:uid="{00000000-0005-0000-0000-00004F000000}"/>
    <cellStyle name="Bemærk! 3" xfId="45" xr:uid="{00000000-0005-0000-0000-000050000000}"/>
    <cellStyle name="Bemærk! 4" xfId="46" xr:uid="{00000000-0005-0000-0000-000051000000}"/>
    <cellStyle name="Bemærk! 5" xfId="75" xr:uid="{00000000-0005-0000-0000-000052000000}"/>
    <cellStyle name="Bemærk! 6" xfId="88" xr:uid="{00000000-0005-0000-0000-000053000000}"/>
    <cellStyle name="Bemærk! 7" xfId="101" xr:uid="{00000000-0005-0000-0000-000054000000}"/>
    <cellStyle name="Bemærk! 8" xfId="114" xr:uid="{00000000-0005-0000-0000-000083000000}"/>
    <cellStyle name="Bemærk! 9" xfId="127" xr:uid="{00000000-0005-0000-0000-000090000000}"/>
    <cellStyle name="Beregning" xfId="47" builtinId="22" customBuiltin="1"/>
    <cellStyle name="Farve1" xfId="48" builtinId="29" customBuiltin="1"/>
    <cellStyle name="Farve2" xfId="49" builtinId="33" customBuiltin="1"/>
    <cellStyle name="Farve3" xfId="50" builtinId="37" customBuiltin="1"/>
    <cellStyle name="Farve4" xfId="51" builtinId="41" customBuiltin="1"/>
    <cellStyle name="Farve5" xfId="52" builtinId="45" customBuiltin="1"/>
    <cellStyle name="Farve6" xfId="53" builtinId="49" customBuiltin="1"/>
    <cellStyle name="Forklarende tekst" xfId="54" builtinId="53" customBuiltin="1"/>
    <cellStyle name="God" xfId="55" builtinId="26" customBuiltin="1"/>
    <cellStyle name="Input" xfId="56" builtinId="20" customBuiltin="1"/>
    <cellStyle name="Komma" xfId="57" builtinId="3"/>
    <cellStyle name="Komma 2" xfId="179" xr:uid="{63D33A2C-9D5D-4BC7-8DAD-77943E997DA1}"/>
    <cellStyle name="Komma 3" xfId="180" xr:uid="{3F72BD4B-B67B-44C2-9F8E-4277C09C269E}"/>
    <cellStyle name="Kontrollér celle" xfId="58" builtinId="23" customBuiltin="1"/>
    <cellStyle name="Neutral" xfId="59" builtinId="28" customBuiltin="1"/>
    <cellStyle name="Normal" xfId="0" builtinId="0"/>
    <cellStyle name="Normal 2" xfId="60" xr:uid="{00000000-0005-0000-0000-000063000000}"/>
    <cellStyle name="Normal 3" xfId="61" xr:uid="{00000000-0005-0000-0000-000064000000}"/>
    <cellStyle name="Normal 4" xfId="62" xr:uid="{00000000-0005-0000-0000-000065000000}"/>
    <cellStyle name="Normal 5" xfId="73" xr:uid="{00000000-0005-0000-0000-000066000000}"/>
    <cellStyle name="Normal 6" xfId="181" xr:uid="{C4D9CE44-08B1-4BC8-BD21-92B5621CFFA5}"/>
    <cellStyle name="Output" xfId="63" builtinId="21" customBuiltin="1"/>
    <cellStyle name="Overskrift" xfId="64" xr:uid="{00000000-0005-0000-0000-000068000000}"/>
    <cellStyle name="Overskrift 1" xfId="65" builtinId="16" customBuiltin="1"/>
    <cellStyle name="Overskrift 2" xfId="66" builtinId="17" customBuiltin="1"/>
    <cellStyle name="Overskrift 3" xfId="67" builtinId="18" customBuiltin="1"/>
    <cellStyle name="Overskrift 4" xfId="68" builtinId="19" customBuiltin="1"/>
    <cellStyle name="Sammenkædet celle" xfId="69" builtinId="24" customBuiltin="1"/>
    <cellStyle name="Titel" xfId="70" builtinId="15" customBuiltin="1"/>
    <cellStyle name="Titel 2" xfId="74" xr:uid="{00000000-0005-0000-0000-00006F000000}"/>
    <cellStyle name="Total" xfId="71" builtinId="25" customBuiltin="1"/>
    <cellStyle name="Ugyldig" xfId="72" builtinId="27" customBuiltin="1"/>
  </cellStyles>
  <dxfs count="9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FC6DA"/>
      <color rgb="FFFFDC8E"/>
      <color rgb="FFE99499"/>
      <color rgb="FF8099AA"/>
      <color rgb="FF9999FF"/>
      <color rgb="FF00CCFF"/>
      <color rgb="FF66C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18</xdr:col>
      <xdr:colOff>646076</xdr:colOff>
      <xdr:row>41</xdr:row>
      <xdr:rowOff>18149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4164D30-8161-427A-8D1C-9A536FD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12990476" cy="7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19</xdr:col>
      <xdr:colOff>112657</xdr:colOff>
      <xdr:row>81</xdr:row>
      <xdr:rowOff>46737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2A05C969-D76E-49F4-8A8E-F57938D9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00950"/>
          <a:ext cx="13142857" cy="71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DFFiles/Files/F&#230;llesdrev/HB-FU/Bilag%20og%20sagsark/2022/2022-01%20HB%20Januar%20WORD/2.12_%20HB_Landsforbundets%20budget%2023-24BILAG1_jan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/Landsm&#248;de/LM2020/Budget/LM2020%20online%20budget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m. LL21"/>
      <sheetName val="Ark1"/>
      <sheetName val="Budget m. LL22"/>
      <sheetName val="Udkast til landsmødeversion"/>
      <sheetName val="Budgetfremskrivning 21-26"/>
      <sheetName val="Baggrundsberegninger"/>
      <sheetName val="Coronaøkonomi"/>
      <sheetName val="55 Nord"/>
      <sheetName val="Budget for landsmødet"/>
      <sheetName val="Stævner og lejre + kurser"/>
      <sheetName val="Budgetberegninger"/>
      <sheetName val="Råbalance 2019"/>
      <sheetName val="Råbalance 2018"/>
      <sheetName val="Råbalance 2017"/>
      <sheetName val="Råbalance 2016"/>
      <sheetName val="Råbalance 2015"/>
      <sheetName val="Råbalance 2014"/>
      <sheetName val="Råbalance 2013"/>
      <sheetName val="Råbalance 2012"/>
      <sheetName val="Råbalance 2011"/>
      <sheetName val="no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 Budget 2008-2018"/>
      <sheetName val="Budget onlinemøde"/>
      <sheetName val="Nyborg Strand"/>
      <sheetName val="Personer til stede"/>
    </sheetNames>
    <sheetDataSet>
      <sheetData sheetId="0"/>
      <sheetData sheetId="1"/>
      <sheetData sheetId="2">
        <row r="48">
          <cell r="C48">
            <v>3452</v>
          </cell>
          <cell r="E48">
            <v>137220</v>
          </cell>
        </row>
      </sheetData>
      <sheetData sheetId="3">
        <row r="16">
          <cell r="B16">
            <v>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akob Harbo Kastrup" id="{81539B80-DB66-4FD0-A2FC-FF0AD3E88E1F}" userId="S::jakobharbo@fdf.dk::733d7d3f-840d-41ca-a3da-6501706158a6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akobharbo/AppData/Local/Microsoft/Windows/INetCache/Content.Outlook/H1V7Z0QX/L&#248;nkompensation-afdeling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ndows User" refreshedDate="44113.326397453704" createdVersion="5" refreshedVersion="5" minRefreshableVersion="3" recordCount="22" xr:uid="{A75D24B8-4813-4B0B-A1C3-2E8CBE809253}">
  <cacheSource type="worksheet">
    <worksheetSource ref="A2:M24" sheet="Komp.person" r:id="rId2"/>
  </cacheSource>
  <cacheFields count="13">
    <cacheField name="Bogføringsdato" numFmtId="14">
      <sharedItems containsSemiMixedTypes="0" containsNonDate="0" containsDate="1" containsString="0" minDate="2020-07-08T00:00:00" maxDate="2020-07-09T00:00:00"/>
    </cacheField>
    <cacheField name="Bilagstype" numFmtId="0">
      <sharedItems/>
    </cacheField>
    <cacheField name="Bilagsnr." numFmtId="0">
      <sharedItems/>
    </cacheField>
    <cacheField name="Finanskontonr." numFmtId="0">
      <sharedItems/>
    </cacheField>
    <cacheField name="Beskrivelse" numFmtId="0">
      <sharedItems/>
    </cacheField>
    <cacheField name="Beløb" numFmtId="4">
      <sharedItems containsSemiMixedTypes="0" containsString="0" containsNumber="1" minValue="-67199.06" maxValue="639069.01"/>
    </cacheField>
    <cacheField name="Modkontotype" numFmtId="0">
      <sharedItems/>
    </cacheField>
    <cacheField name="Modkonto" numFmtId="0">
      <sharedItems/>
    </cacheField>
    <cacheField name="Løbenr." numFmtId="0">
      <sharedItems containsSemiMixedTypes="0" containsString="0" containsNumber="1" containsInteger="1" minValue="1767366" maxValue="1767387"/>
    </cacheField>
    <cacheField name="Afdelinger Kode" numFmtId="0">
      <sharedItems/>
    </cacheField>
    <cacheField name="Projekter Kode" numFmtId="0">
      <sharedItems count="5">
        <s v="ADMINISTRATION"/>
        <s v="STABEN"/>
        <s v="RYSENSTEEN"/>
        <s v="SLETTEN"/>
        <s v=""/>
      </sharedItems>
    </cacheField>
    <cacheField name="Momsbeløb" numFmtId="4">
      <sharedItems containsSemiMixedTypes="0" containsString="0" containsNumber="1" containsInteger="1" minValue="0" maxValue="0"/>
    </cacheField>
    <cacheField name="Pantebrevsn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d v="2020-07-08T00:00:00"/>
    <s v="Betaling"/>
    <s v="2081007"/>
    <s v="210050"/>
    <s v="Erhvervsstyrelsen BBJ"/>
    <n v="-50517.5"/>
    <s v="Finans"/>
    <s v=""/>
    <n v="1767366"/>
    <s v="21010"/>
    <x v="0"/>
    <n v="0"/>
    <s v=""/>
  </r>
  <r>
    <d v="2020-07-08T00:00:00"/>
    <s v="Betaling"/>
    <s v="2081007"/>
    <s v="210050"/>
    <s v="Erhvervsstyrelsen DN"/>
    <n v="-18818.240000000002"/>
    <s v="Finans"/>
    <s v=""/>
    <n v="1767367"/>
    <s v="21020"/>
    <x v="0"/>
    <n v="0"/>
    <s v=""/>
  </r>
  <r>
    <d v="2020-07-08T00:00:00"/>
    <s v="Betaling"/>
    <s v="2081007"/>
    <s v="210050"/>
    <s v="Erhvervsstyrelsen JE"/>
    <n v="-67199.06"/>
    <s v="Finans"/>
    <s v=""/>
    <n v="1767368"/>
    <s v="21020"/>
    <x v="0"/>
    <n v="0"/>
    <s v=""/>
  </r>
  <r>
    <d v="2020-07-08T00:00:00"/>
    <s v="Betaling"/>
    <s v="2081007"/>
    <s v="210050"/>
    <s v="Erhvervsstyrelsen LH"/>
    <n v="-66348.44"/>
    <s v="Finans"/>
    <s v=""/>
    <n v="1767369"/>
    <s v="21020"/>
    <x v="0"/>
    <n v="0"/>
    <s v=""/>
  </r>
  <r>
    <d v="2020-07-08T00:00:00"/>
    <s v="Betaling"/>
    <s v="2081007"/>
    <s v="210050"/>
    <s v="Erhvervsstyrelsen TL"/>
    <n v="-31829.52"/>
    <s v="Finans"/>
    <s v=""/>
    <n v="1767370"/>
    <s v="21020"/>
    <x v="0"/>
    <n v="0"/>
    <s v=""/>
  </r>
  <r>
    <d v="2020-07-08T00:00:00"/>
    <s v="Betaling"/>
    <s v="2081007"/>
    <s v="210050"/>
    <s v="Erhvervsstyrelsen AKØM"/>
    <n v="-11658.85"/>
    <s v="Finans"/>
    <s v=""/>
    <n v="1767371"/>
    <s v="21040"/>
    <x v="1"/>
    <n v="0"/>
    <s v=""/>
  </r>
  <r>
    <d v="2020-07-08T00:00:00"/>
    <s v="Betaling"/>
    <s v="2081007"/>
    <s v="210050"/>
    <s v="Erhvervsstyrelsen HBN"/>
    <n v="-16062.13"/>
    <s v="Finans"/>
    <s v=""/>
    <n v="1767372"/>
    <s v="21040"/>
    <x v="1"/>
    <n v="0"/>
    <s v=""/>
  </r>
  <r>
    <d v="2020-07-08T00:00:00"/>
    <s v="Betaling"/>
    <s v="2081007"/>
    <s v="210050"/>
    <s v="Erhvervsstyrelsen JSS"/>
    <n v="-21038.52"/>
    <s v="Finans"/>
    <s v=""/>
    <n v="1767373"/>
    <s v="21040"/>
    <x v="1"/>
    <n v="0"/>
    <s v=""/>
  </r>
  <r>
    <d v="2020-07-08T00:00:00"/>
    <s v="Betaling"/>
    <s v="2081007"/>
    <s v="210050"/>
    <s v="Erhvervsstyrelsen LNA"/>
    <n v="-6162.99"/>
    <s v="Finans"/>
    <s v=""/>
    <n v="1767374"/>
    <s v="21040"/>
    <x v="1"/>
    <n v="0"/>
    <s v=""/>
  </r>
  <r>
    <d v="2020-07-08T00:00:00"/>
    <s v="Betaling"/>
    <s v="2081007"/>
    <s v="210050"/>
    <s v="Erhvervsstyrelsen RBO"/>
    <n v="-42518.47"/>
    <s v="Finans"/>
    <s v=""/>
    <n v="1767375"/>
    <s v="21040"/>
    <x v="1"/>
    <n v="0"/>
    <s v=""/>
  </r>
  <r>
    <d v="2020-07-08T00:00:00"/>
    <s v="Betaling"/>
    <s v="2081007"/>
    <s v="210050"/>
    <s v="Erhvervsstyrelsen SF"/>
    <n v="-39000.199999999997"/>
    <s v="Finans"/>
    <s v=""/>
    <n v="1767376"/>
    <s v="21040"/>
    <x v="1"/>
    <n v="0"/>
    <s v=""/>
  </r>
  <r>
    <d v="2020-07-08T00:00:00"/>
    <s v="Betaling"/>
    <s v="2081007"/>
    <s v="210050"/>
    <s v="Erhvervsstyrelsen TS"/>
    <n v="-20249.830000000002"/>
    <s v="Finans"/>
    <s v=""/>
    <n v="1767377"/>
    <s v="21040"/>
    <x v="1"/>
    <n v="0"/>
    <s v=""/>
  </r>
  <r>
    <d v="2020-07-08T00:00:00"/>
    <s v="Betaling"/>
    <s v="2081007"/>
    <s v="441230"/>
    <s v="Erhvervsstyrelsen CS"/>
    <n v="-8574.51"/>
    <s v="Finans"/>
    <s v=""/>
    <n v="1767378"/>
    <s v="44500"/>
    <x v="2"/>
    <n v="0"/>
    <s v=""/>
  </r>
  <r>
    <d v="2020-07-08T00:00:00"/>
    <s v="Betaling"/>
    <s v="2081007"/>
    <s v="441230"/>
    <s v="Erhvervsstyrelsen KRH"/>
    <n v="-8574.51"/>
    <s v="Finans"/>
    <s v=""/>
    <n v="1767379"/>
    <s v="44500"/>
    <x v="2"/>
    <n v="0"/>
    <s v=""/>
  </r>
  <r>
    <d v="2020-07-08T00:00:00"/>
    <s v="Betaling"/>
    <s v="2081007"/>
    <s v="441230"/>
    <s v="Erhvervsstyrelsen MF"/>
    <n v="-8574.51"/>
    <s v="Finans"/>
    <s v=""/>
    <n v="1767380"/>
    <s v="44500"/>
    <x v="2"/>
    <n v="0"/>
    <s v=""/>
  </r>
  <r>
    <d v="2020-07-08T00:00:00"/>
    <s v="Betaling"/>
    <s v="2081007"/>
    <s v="441230"/>
    <s v="Erhvervsstyrelsen KL"/>
    <n v="-36290.67"/>
    <s v="Finans"/>
    <s v=""/>
    <n v="1767381"/>
    <s v="44400"/>
    <x v="2"/>
    <n v="0"/>
    <s v=""/>
  </r>
  <r>
    <d v="2020-07-08T00:00:00"/>
    <s v="Betaling"/>
    <s v="2081007"/>
    <s v="441230"/>
    <s v="Erhvervsstyrelsen LW"/>
    <n v="-33645.370000000003"/>
    <s v="Finans"/>
    <s v=""/>
    <n v="1767382"/>
    <s v="44400"/>
    <x v="2"/>
    <n v="0"/>
    <s v=""/>
  </r>
  <r>
    <d v="2020-07-08T00:00:00"/>
    <s v="Betaling"/>
    <s v="2081007"/>
    <s v="441230"/>
    <s v="Erhvervsstyrelsen JK"/>
    <n v="-21303.65"/>
    <s v="Finans"/>
    <s v=""/>
    <n v="1767383"/>
    <s v="44200"/>
    <x v="3"/>
    <n v="0"/>
    <s v=""/>
  </r>
  <r>
    <d v="2020-07-08T00:00:00"/>
    <s v="Betaling"/>
    <s v="2081007"/>
    <s v="441230"/>
    <s v="Erhvervsstyrelsen MH"/>
    <n v="-9455.49"/>
    <s v="Finans"/>
    <s v=""/>
    <n v="1767384"/>
    <s v="44200"/>
    <x v="3"/>
    <n v="0"/>
    <s v=""/>
  </r>
  <r>
    <d v="2020-07-08T00:00:00"/>
    <s v="Betaling"/>
    <s v="2081007"/>
    <s v="441230"/>
    <s v="Erhvervsstyrelsen MØ"/>
    <n v="-60853.43"/>
    <s v="Finans"/>
    <s v=""/>
    <n v="1767385"/>
    <s v="44200"/>
    <x v="3"/>
    <n v="0"/>
    <s v=""/>
  </r>
  <r>
    <d v="2020-07-08T00:00:00"/>
    <s v="Betaling"/>
    <s v="2081007"/>
    <s v="441230"/>
    <s v="Erhvervsstyrelsen TBV"/>
    <n v="-60393.120000000003"/>
    <s v="Finans"/>
    <s v=""/>
    <n v="1767386"/>
    <s v="44200"/>
    <x v="3"/>
    <n v="0"/>
    <s v=""/>
  </r>
  <r>
    <d v="2020-07-08T00:00:00"/>
    <s v="Betaling"/>
    <s v="2081007"/>
    <s v="760010"/>
    <s v="Erhvervsstyrelsen lønkompensation"/>
    <n v="639069.01"/>
    <s v="Finans"/>
    <s v=""/>
    <n v="1767387"/>
    <s v=""/>
    <x v="4"/>
    <n v="0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5EEC3F-9C0D-4C0B-9DE4-5FEC9D7E401B}" name="Pivottabel1" cacheId="3" applyNumberFormats="0" applyBorderFormats="0" applyFontFormats="0" applyPatternFormats="0" applyAlignmentFormats="0" applyWidthHeightFormats="1" dataCaption="Værdier" updatedVersion="5" minRefreshableVersion="3" useAutoFormatting="1" itemPrintTitles="1" createdVersion="5" indent="0" outline="1" outlineData="1" multipleFieldFilters="0">
  <location ref="A26:B32" firstHeaderRow="1" firstDataRow="1" firstDataCol="1"/>
  <pivotFields count="13">
    <pivotField numFmtId="14"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axis="axisRow" showAll="0">
      <items count="6">
        <item x="4"/>
        <item x="0"/>
        <item x="2"/>
        <item x="3"/>
        <item x="1"/>
        <item t="default"/>
      </items>
    </pivotField>
    <pivotField numFmtId="4" showAll="0"/>
    <pivotField showAll="0"/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af Beløb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6D661A5-3127-46C0-BDA4-6838F44912EF}" name="Table13" displayName="Table13" ref="K130:T144" totalsRowShown="0">
  <autoFilter ref="K130:T144" xr:uid="{B6D661A5-3127-46C0-BDA4-6838F44912EF}"/>
  <tableColumns count="10">
    <tableColumn id="1" xr3:uid="{F188B5D7-B2FF-4CB5-83D7-2B82F642BFEF}" name="Kode"/>
    <tableColumn id="2" xr3:uid="{BFCD0B78-CE15-408B-B9A8-26E62BC13F9D}" name="Navn"/>
    <tableColumn id="3" xr3:uid="{5E932289-8587-4187-A392-E54D2893AA93}" name="I alt"/>
    <tableColumn id="4" xr3:uid="{3B8D21C7-416A-4F14-8AC8-B9D068D4DED0}" name="BLUZ"/>
    <tableColumn id="5" xr3:uid="{7082C548-264C-48E1-8E7A-8AE0C177F848}" name="FLUX"/>
    <tableColumn id="6" xr3:uid="{C3B9825F-52B7-4A32-8DDD-A5D60EEC2703}" name="KREDS CMS"/>
    <tableColumn id="7" xr3:uid="{3B208E5D-BFCC-454B-8B42-138184C78C7B}" name="LEDEREN"/>
    <tableColumn id="8" xr3:uid="{CE2167CB-54AD-4076-B7A4-6DBDFB813CAF}" name="SILLE OG SIGURD"/>
    <tableColumn id="9" xr3:uid="{C8BFAC6C-AAEE-44C7-9F0D-165FE4EF763A}" name="WEB"/>
    <tableColumn id="10" xr3:uid="{5EDA6494-4D33-4751-9ACA-B13F2AACC558}" name="div. Layou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EAB5D7D-E483-41A4-854B-1F67E47319F5}" name="Table15" displayName="Table15" ref="K146:P229" totalsRowShown="0">
  <autoFilter ref="K146:P229" xr:uid="{6EAB5D7D-E483-41A4-854B-1F67E47319F5}"/>
  <tableColumns count="6">
    <tableColumn id="1" xr3:uid="{686827AC-7C7F-4AA2-BE5C-EA4E025BADEF}" name="Kode"/>
    <tableColumn id="2" xr3:uid="{F9A7F007-B030-479C-822A-9A6D09970BA0}" name="Navn"/>
    <tableColumn id="3" xr3:uid="{0EF372C1-420F-4CDF-8332-EBF671082601}" name="I alt"/>
    <tableColumn id="4" xr3:uid="{AA2C7E77-CE98-4AB4-817A-6DD5979DD59A}" name="RYSENSTEEN"/>
    <tableColumn id="5" xr3:uid="{D73A4C0E-375E-4BD8-8D89-298778DD5245}" name="SLETTEN"/>
    <tableColumn id="6" xr3:uid="{3B2423ED-AA5C-4B94-B985-9C44319CC88E}" name="VORK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9D7AC3-E8E9-4844-8779-4C5B9155166C}" name="Table1" displayName="Table1" ref="A1:AG628" totalsRowShown="0">
  <autoFilter ref="A1:AG628" xr:uid="{BD9D7AC3-E8E9-4844-8779-4C5B9155166C}"/>
  <tableColumns count="33">
    <tableColumn id="1" xr3:uid="{34270267-760A-408C-B3EE-709E773845F3}" name="Kode"/>
    <tableColumn id="2" xr3:uid="{9052001B-7ED5-49C5-B9D0-DC706A1D2E98}" name="Navn"/>
    <tableColumn id="3" xr3:uid="{C49BB0C2-FEE9-4100-B705-9DA4F77F5DF6}" name="I alt"/>
    <tableColumn id="4" xr3:uid="{0109058D-6234-48E0-8181-6D9614146C0E}" name="7.-8. klassekursus Limbjerggård uge 7"/>
    <tableColumn id="5" xr3:uid="{0BC87A8E-59D5-479C-A27D-47B9B555C625}" name="7.-8. klassekursus Rysensteen uge 7"/>
    <tableColumn id="6" xr3:uid="{EF8A63E2-3CE0-4C08-9F87-E69AD1D501BB}" name="Seniorvæbnerkursus Hardsyssel Påsken 2022"/>
    <tableColumn id="7" xr3:uid="{C99257A5-5DFB-4EF2-96A0-ED3C36FC6D5A}" name="SKS påsken 2022"/>
    <tableColumn id="8" xr3:uid="{86D14E23-1290-4B9C-B8A7-28C641A84199}" name="Seniorkursus Vork påsken 2022"/>
    <tableColumn id="9" xr3:uid="{49CAAB41-A856-4295-B1E5-AB06C5AEBE85}" name="Seniorkursus Vork efterår 2022"/>
    <tableColumn id="10" xr3:uid="{CA4D4157-E0FD-4028-AE98-889C34EFCBEA}" name="Orkesterkursus efterår 2022"/>
    <tableColumn id="11" xr3:uid="{0AD2F92D-2876-4C55-96BF-DB7D836FC8D6}" name="Fimcap Eurocourse Belgien"/>
    <tableColumn id="12" xr3:uid="{3459D5A9-4A2E-4F69-9FEE-B731693DB855}" name="Amsterdam City Challenge november 2022"/>
    <tableColumn id="13" xr3:uid="{ADDBCDDD-B0A2-4775-B0DA-875F4B85D9D0}" name="Globus Nepalrejse forår 2022"/>
    <tableColumn id="14" xr3:uid="{58020444-9EB0-4206-BD46-E1418481FB90}" name="Fimcap World Camp Botswana 2022"/>
    <tableColumn id="15" xr3:uid="{105BA006-39D6-4988-B37A-3DCF656F3B32}" name="Bluz"/>
    <tableColumn id="16" xr3:uid="{04059AD5-4621-4F2D-97B8-2B91C715CF2E}" name="Div. layout"/>
    <tableColumn id="17" xr3:uid="{FD6F9E96-361B-435F-BE33-2424D31B6928}" name="Famlilielejr"/>
    <tableColumn id="18" xr3:uid="{AE8E41CE-DF5C-481E-9F91-4B6671E8C700}" name="Flux"/>
    <tableColumn id="19" xr3:uid="{39611895-814E-442C-AE79-6E7F18E1D198}" name="Kreds CMS"/>
    <tableColumn id="20" xr3:uid="{3029EB3C-DA23-4222-8F65-8025A398620A}" name="Kredsstartsmidler - kredsstart"/>
    <tableColumn id="21" xr3:uid="{E39966B0-EF7D-48CA-9DA6-399FE6EB625F}" name="Lederen"/>
    <tableColumn id="22" xr3:uid="{921FDC85-61CE-4216-8DE7-ABBDF3028209}" name="Mobiliseringsmidler - kredsstart"/>
    <tableColumn id="23" xr3:uid="{DD7BA8E8-E83D-4324-AF70-B06C4E4D60F4}" name="Projektgruppe - kredsstart"/>
    <tableColumn id="24" xr3:uid="{9B06CB80-4B40-4CE9-989A-37EEE2F79A15}" name="Rysensteen"/>
    <tableColumn id="25" xr3:uid="{A38EA6CC-26C7-45B1-86A9-5FCF2462C481}" name="Seniorcity"/>
    <tableColumn id="26" xr3:uid="{0ECDC405-096D-4E57-B8CA-F7934B1C9836}" name="Seniorfestival"/>
    <tableColumn id="27" xr3:uid="{860A6DCA-824F-4092-A7B0-DC2D6FEBF00E}" name="Sille og Sigurd"/>
    <tableColumn id="28" xr3:uid="{9C43D126-3EE2-4B1A-AF5B-3D45BD4DD123}" name="Sletten"/>
    <tableColumn id="29" xr3:uid="{6AF56DAF-61EE-4E50-9C01-629CA0DC0C87}" name="Styregruppe - kredsstart"/>
    <tableColumn id="30" xr3:uid="{0EDC79F5-E0CC-4964-A12A-36692761D51A}" name="Velkomstmidler - kredsstart"/>
    <tableColumn id="31" xr3:uid="{2DFAFF43-9C66-46D6-B886-2EB0FCB52404}" name="Væbnermesterskabet"/>
    <tableColumn id="32" xr3:uid="{526E9095-5A25-4D44-A324-1B86CB1B2095}" name="Vork"/>
    <tableColumn id="33" xr3:uid="{E83A4E48-FFD2-4B95-A049-B8800A6195FC}" name="Web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ontor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8" dT="2020-10-06T16:34:43.34" personId="{81539B80-DB66-4FD0-A2FC-FF0AD3E88E1F}" id="{68239D03-7196-4BAC-AD23-AC2D3E0B156F}">
    <text>indsæt nuller i de tomme felter.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8D6C4-28AA-4B6A-AEFF-CE4C85371F7B}">
  <dimension ref="A1:V140"/>
  <sheetViews>
    <sheetView zoomScale="131" zoomScaleNormal="100" zoomScaleSheetLayoutView="90" workbookViewId="0">
      <pane xSplit="9" ySplit="5" topLeftCell="J94" activePane="bottomRight" state="frozen"/>
      <selection pane="topRight" activeCell="J1" sqref="J1"/>
      <selection pane="bottomLeft" activeCell="A4" sqref="A4"/>
      <selection pane="bottomRight" activeCell="I91" sqref="I91"/>
    </sheetView>
  </sheetViews>
  <sheetFormatPr baseColWidth="10" defaultColWidth="15.5" defaultRowHeight="14"/>
  <cols>
    <col min="1" max="1" width="50.83203125" customWidth="1"/>
    <col min="2" max="6" width="6" hidden="1" customWidth="1"/>
    <col min="7" max="7" width="8" customWidth="1"/>
    <col min="8" max="8" width="6" customWidth="1"/>
    <col min="9" max="9" width="9.5" customWidth="1"/>
    <col min="10" max="10" width="9" customWidth="1"/>
    <col min="11" max="12" width="11.5" customWidth="1"/>
    <col min="13" max="14" width="12.5" customWidth="1"/>
    <col min="15" max="15" width="12" customWidth="1"/>
    <col min="16" max="16" width="12.5" customWidth="1"/>
    <col min="17" max="17" width="14.5" hidden="1" customWidth="1"/>
    <col min="18" max="18" width="53" hidden="1" customWidth="1"/>
    <col min="19" max="20" width="11.5" customWidth="1"/>
    <col min="21" max="21" width="63.5" style="266" customWidth="1"/>
  </cols>
  <sheetData>
    <row r="1" spans="1:21" ht="18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90"/>
      <c r="S1" s="147"/>
      <c r="T1" s="147"/>
    </row>
    <row r="2" spans="1:21" ht="18">
      <c r="A2" s="311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90"/>
      <c r="S2" s="147"/>
      <c r="T2" s="147"/>
    </row>
    <row r="3" spans="1:21" ht="18">
      <c r="A3" s="311" t="s">
        <v>2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90"/>
      <c r="S3" s="147"/>
      <c r="T3" s="147"/>
    </row>
    <row r="4" spans="1:21" ht="16">
      <c r="A4" s="23" t="s">
        <v>3</v>
      </c>
      <c r="B4" s="158" t="s">
        <v>4</v>
      </c>
      <c r="C4" s="159" t="s">
        <v>5</v>
      </c>
      <c r="D4" s="160" t="s">
        <v>4</v>
      </c>
      <c r="E4" s="161" t="s">
        <v>5</v>
      </c>
      <c r="F4" s="162" t="s">
        <v>4</v>
      </c>
      <c r="G4" s="163" t="s">
        <v>5</v>
      </c>
      <c r="H4" s="150" t="s">
        <v>4</v>
      </c>
      <c r="I4" s="164" t="s">
        <v>6</v>
      </c>
      <c r="J4" s="165" t="s">
        <v>7</v>
      </c>
      <c r="K4" s="166" t="s">
        <v>4</v>
      </c>
      <c r="L4" s="275" t="s">
        <v>6</v>
      </c>
      <c r="M4" s="167" t="s">
        <v>4</v>
      </c>
      <c r="N4" s="151" t="s">
        <v>8</v>
      </c>
      <c r="O4" s="151" t="s">
        <v>9</v>
      </c>
      <c r="P4" s="167" t="s">
        <v>10</v>
      </c>
      <c r="Q4" s="151" t="s">
        <v>11</v>
      </c>
      <c r="R4" s="199" t="s">
        <v>12</v>
      </c>
      <c r="S4" s="149" t="s">
        <v>13</v>
      </c>
      <c r="T4" s="300" t="s">
        <v>13</v>
      </c>
      <c r="U4" s="333" t="s">
        <v>12</v>
      </c>
    </row>
    <row r="5" spans="1:21" ht="12" customHeight="1">
      <c r="A5" s="168"/>
      <c r="B5" s="169">
        <v>2015</v>
      </c>
      <c r="C5" s="170">
        <v>2015</v>
      </c>
      <c r="D5" s="171">
        <v>2016</v>
      </c>
      <c r="E5" s="172">
        <v>2016</v>
      </c>
      <c r="F5" s="173">
        <v>2017</v>
      </c>
      <c r="G5" s="174">
        <v>2017</v>
      </c>
      <c r="H5" s="175">
        <v>2018</v>
      </c>
      <c r="I5" s="176">
        <v>2018</v>
      </c>
      <c r="J5" s="177" t="s">
        <v>14</v>
      </c>
      <c r="K5" s="178">
        <v>2019</v>
      </c>
      <c r="L5" s="276">
        <v>2019</v>
      </c>
      <c r="M5" s="179">
        <v>2020</v>
      </c>
      <c r="N5" s="313"/>
      <c r="O5" s="313" t="s">
        <v>15</v>
      </c>
      <c r="P5" s="179">
        <v>2020</v>
      </c>
      <c r="Q5" s="153" t="s">
        <v>16</v>
      </c>
      <c r="R5" s="90"/>
      <c r="S5" s="295">
        <v>2021</v>
      </c>
      <c r="T5" s="301">
        <v>2022</v>
      </c>
    </row>
    <row r="6" spans="1:21" ht="12" customHeight="1">
      <c r="A6" s="90"/>
      <c r="B6" s="180"/>
      <c r="C6" s="181"/>
      <c r="D6" s="182"/>
      <c r="E6" s="183"/>
      <c r="F6" s="184"/>
      <c r="G6" s="185"/>
      <c r="H6" s="186"/>
      <c r="I6" s="187"/>
      <c r="J6" s="188"/>
      <c r="K6" s="189"/>
      <c r="L6" s="277"/>
      <c r="M6" s="190"/>
      <c r="N6" s="197"/>
      <c r="O6" s="197"/>
      <c r="P6" s="190"/>
      <c r="Q6" s="155"/>
      <c r="R6" s="90"/>
      <c r="S6" s="296"/>
      <c r="T6" s="302"/>
    </row>
    <row r="7" spans="1:21" ht="12" customHeight="1">
      <c r="A7" s="90" t="s">
        <v>17</v>
      </c>
      <c r="B7" s="180">
        <v>7935</v>
      </c>
      <c r="C7" s="191">
        <v>7877</v>
      </c>
      <c r="D7" s="182">
        <v>8150</v>
      </c>
      <c r="E7" s="183">
        <v>8218</v>
      </c>
      <c r="F7" s="192">
        <v>8160</v>
      </c>
      <c r="G7" s="193">
        <v>8090</v>
      </c>
      <c r="H7" s="194">
        <v>8090</v>
      </c>
      <c r="I7" s="195">
        <v>7899089</v>
      </c>
      <c r="J7" s="188">
        <f>((I7/1000)+G7+E7+C7)/4</f>
        <v>8021.02225</v>
      </c>
      <c r="K7" s="196">
        <v>7928000</v>
      </c>
      <c r="L7" s="278">
        <v>7771971</v>
      </c>
      <c r="M7" s="198">
        <v>8200000</v>
      </c>
      <c r="N7" s="197">
        <v>-233729.72500000056</v>
      </c>
      <c r="O7" s="197"/>
      <c r="P7" s="198">
        <f>M7+N7+O7</f>
        <v>7966270.2749999994</v>
      </c>
      <c r="Q7" s="197">
        <f>P7-M7</f>
        <v>-233729.72500000056</v>
      </c>
      <c r="R7" s="90" t="s">
        <v>18</v>
      </c>
      <c r="S7" s="234">
        <f>Budgetberegninger!C6</f>
        <v>8100000</v>
      </c>
      <c r="T7" s="303">
        <f>Budgetberegninger!D6</f>
        <v>8200000</v>
      </c>
      <c r="U7" s="344" t="s">
        <v>19</v>
      </c>
    </row>
    <row r="8" spans="1:21" ht="12" customHeight="1">
      <c r="A8" s="199" t="s">
        <v>20</v>
      </c>
      <c r="B8" s="200">
        <f t="shared" ref="B8:K8" si="0">SUM(B7)</f>
        <v>7935</v>
      </c>
      <c r="C8" s="201">
        <f t="shared" si="0"/>
        <v>7877</v>
      </c>
      <c r="D8" s="202">
        <f t="shared" si="0"/>
        <v>8150</v>
      </c>
      <c r="E8" s="203">
        <f t="shared" si="0"/>
        <v>8218</v>
      </c>
      <c r="F8" s="204">
        <f t="shared" si="0"/>
        <v>8160</v>
      </c>
      <c r="G8" s="205">
        <f t="shared" si="0"/>
        <v>8090</v>
      </c>
      <c r="H8" s="206">
        <f t="shared" si="0"/>
        <v>8090</v>
      </c>
      <c r="I8" s="207">
        <f t="shared" si="0"/>
        <v>7899089</v>
      </c>
      <c r="J8" s="208">
        <f>((I8/1000)+G8+E8+C8)/4</f>
        <v>8021.02225</v>
      </c>
      <c r="K8" s="209">
        <f t="shared" si="0"/>
        <v>7928000</v>
      </c>
      <c r="L8" s="279">
        <f>SUM(L7)</f>
        <v>7771971</v>
      </c>
      <c r="M8" s="211">
        <f>SUM(M7)</f>
        <v>8200000</v>
      </c>
      <c r="N8" s="197"/>
      <c r="O8" s="197"/>
      <c r="P8" s="211">
        <f>SUM(P7)</f>
        <v>7966270.2749999994</v>
      </c>
      <c r="Q8" s="210">
        <f>P8-M8</f>
        <v>-233729.72500000056</v>
      </c>
      <c r="R8" s="90"/>
      <c r="S8" s="236">
        <f t="shared" ref="S8:T8" si="1">SUM(S7)</f>
        <v>8100000</v>
      </c>
      <c r="T8" s="304">
        <f t="shared" si="1"/>
        <v>8200000</v>
      </c>
    </row>
    <row r="9" spans="1:21" ht="12" customHeight="1">
      <c r="A9" s="90"/>
      <c r="B9" s="180"/>
      <c r="C9" s="181"/>
      <c r="D9" s="182"/>
      <c r="E9" s="183"/>
      <c r="F9" s="192"/>
      <c r="G9" s="193"/>
      <c r="H9" s="194"/>
      <c r="I9" s="195"/>
      <c r="J9" s="188"/>
      <c r="K9" s="196"/>
      <c r="L9" s="278"/>
      <c r="M9" s="198"/>
      <c r="N9" s="197"/>
      <c r="O9" s="197"/>
      <c r="P9" s="198"/>
      <c r="Q9" s="197"/>
      <c r="R9" s="90"/>
      <c r="S9" s="234"/>
      <c r="T9" s="303"/>
    </row>
    <row r="10" spans="1:21" ht="12" customHeight="1">
      <c r="A10" s="266" t="s">
        <v>21</v>
      </c>
      <c r="B10" s="180">
        <v>6700</v>
      </c>
      <c r="C10" s="191">
        <v>6659</v>
      </c>
      <c r="D10" s="182">
        <v>6700</v>
      </c>
      <c r="E10" s="183">
        <v>6373</v>
      </c>
      <c r="F10" s="192">
        <v>6700</v>
      </c>
      <c r="G10" s="193">
        <v>7008</v>
      </c>
      <c r="H10" s="194">
        <v>6700</v>
      </c>
      <c r="I10" s="195">
        <v>7262292</v>
      </c>
      <c r="J10" s="188">
        <f>((I10/1000)+G10+E10+C10)/4</f>
        <v>6825.5730000000003</v>
      </c>
      <c r="K10" s="196">
        <v>7200000</v>
      </c>
      <c r="L10" s="278">
        <v>7148832</v>
      </c>
      <c r="M10" s="198">
        <v>7400000</v>
      </c>
      <c r="N10" s="197">
        <v>-251168</v>
      </c>
      <c r="O10" s="197"/>
      <c r="P10" s="198">
        <f t="shared" ref="P10:P15" si="2">M10+N10+O10</f>
        <v>7148832</v>
      </c>
      <c r="Q10" s="197">
        <f>P10-M10</f>
        <v>-251168</v>
      </c>
      <c r="R10" s="90" t="s">
        <v>22</v>
      </c>
      <c r="S10" s="234">
        <v>7250000</v>
      </c>
      <c r="T10" s="303">
        <v>7250000</v>
      </c>
    </row>
    <row r="11" spans="1:21" ht="12" customHeight="1">
      <c r="A11" s="90" t="s">
        <v>23</v>
      </c>
      <c r="B11" s="180">
        <v>250</v>
      </c>
      <c r="C11" s="191">
        <v>276</v>
      </c>
      <c r="D11" s="182">
        <v>250</v>
      </c>
      <c r="E11" s="183">
        <v>249</v>
      </c>
      <c r="F11" s="192">
        <v>250</v>
      </c>
      <c r="G11" s="193">
        <v>235</v>
      </c>
      <c r="H11" s="194">
        <v>250</v>
      </c>
      <c r="I11" s="195">
        <v>233383</v>
      </c>
      <c r="J11" s="188">
        <f>((I11/1000)+G11+E11+C11)/4</f>
        <v>248.34575000000001</v>
      </c>
      <c r="K11" s="196">
        <v>250000</v>
      </c>
      <c r="L11" s="278">
        <v>244095</v>
      </c>
      <c r="M11" s="198">
        <v>250000</v>
      </c>
      <c r="N11" s="197"/>
      <c r="O11" s="197"/>
      <c r="P11" s="198">
        <f t="shared" si="2"/>
        <v>250000</v>
      </c>
      <c r="Q11" s="197">
        <f>P11-M11</f>
        <v>0</v>
      </c>
      <c r="R11" s="155"/>
      <c r="S11" s="234">
        <v>250000</v>
      </c>
      <c r="T11" s="303">
        <v>250000</v>
      </c>
    </row>
    <row r="12" spans="1:21" ht="12" customHeight="1">
      <c r="A12" s="90" t="s">
        <v>24</v>
      </c>
      <c r="B12" s="180">
        <v>550</v>
      </c>
      <c r="C12" s="191">
        <v>426</v>
      </c>
      <c r="D12" s="182">
        <v>550</v>
      </c>
      <c r="E12" s="183">
        <v>474</v>
      </c>
      <c r="F12" s="192">
        <v>550</v>
      </c>
      <c r="G12" s="193">
        <v>1771</v>
      </c>
      <c r="H12" s="194">
        <v>550</v>
      </c>
      <c r="I12" s="195">
        <v>13021</v>
      </c>
      <c r="J12" s="208"/>
      <c r="K12" s="209">
        <v>0</v>
      </c>
      <c r="L12" s="279">
        <v>19674</v>
      </c>
      <c r="M12" s="198"/>
      <c r="N12" s="197"/>
      <c r="O12" s="197"/>
      <c r="P12" s="198">
        <f t="shared" si="2"/>
        <v>0</v>
      </c>
      <c r="Q12" s="197">
        <f>P12-M12</f>
        <v>0</v>
      </c>
      <c r="R12" s="90"/>
      <c r="S12" s="234">
        <v>0</v>
      </c>
      <c r="T12" s="303">
        <v>0</v>
      </c>
      <c r="U12" s="155"/>
    </row>
    <row r="13" spans="1:21" ht="12" customHeight="1">
      <c r="A13" s="90" t="s">
        <v>25</v>
      </c>
      <c r="B13" s="180"/>
      <c r="C13" s="191"/>
      <c r="D13" s="182"/>
      <c r="E13" s="183"/>
      <c r="F13" s="192"/>
      <c r="G13" s="193"/>
      <c r="H13" s="194"/>
      <c r="I13" s="195">
        <v>468863</v>
      </c>
      <c r="J13" s="188">
        <f>((I13/1000)+G13+E13+C13)/4</f>
        <v>117.21575</v>
      </c>
      <c r="K13" s="196">
        <v>500000</v>
      </c>
      <c r="L13" s="278">
        <v>397575</v>
      </c>
      <c r="M13" s="198">
        <v>500000</v>
      </c>
      <c r="N13" s="197">
        <v>-102425</v>
      </c>
      <c r="O13" s="197"/>
      <c r="P13" s="198">
        <f t="shared" si="2"/>
        <v>397575</v>
      </c>
      <c r="Q13" s="197">
        <f>P13-M13</f>
        <v>-102425</v>
      </c>
      <c r="R13" s="90" t="s">
        <v>26</v>
      </c>
      <c r="S13" s="234">
        <v>400000</v>
      </c>
      <c r="T13" s="303">
        <v>1500000</v>
      </c>
      <c r="U13" s="266" t="s">
        <v>27</v>
      </c>
    </row>
    <row r="14" spans="1:21" ht="12" customHeight="1">
      <c r="A14" s="90" t="s">
        <v>28</v>
      </c>
      <c r="B14" s="180"/>
      <c r="C14" s="191"/>
      <c r="D14" s="182"/>
      <c r="E14" s="183"/>
      <c r="F14" s="192"/>
      <c r="G14" s="193"/>
      <c r="H14" s="194"/>
      <c r="I14" s="195"/>
      <c r="J14" s="188"/>
      <c r="K14" s="196"/>
      <c r="L14" s="278"/>
      <c r="M14" s="198">
        <v>0</v>
      </c>
      <c r="N14" s="197"/>
      <c r="O14" s="197">
        <v>625000</v>
      </c>
      <c r="P14" s="198">
        <f t="shared" si="2"/>
        <v>625000</v>
      </c>
      <c r="Q14" s="197">
        <f t="shared" ref="Q14:Q15" si="3">P14-M14</f>
        <v>625000</v>
      </c>
      <c r="R14" s="90" t="s">
        <v>29</v>
      </c>
      <c r="S14" s="234"/>
      <c r="T14" s="303"/>
    </row>
    <row r="15" spans="1:21" ht="12" customHeight="1">
      <c r="A15" s="90" t="s">
        <v>30</v>
      </c>
      <c r="B15" s="180"/>
      <c r="C15" s="191"/>
      <c r="D15" s="182"/>
      <c r="E15" s="183"/>
      <c r="F15" s="192"/>
      <c r="G15" s="193"/>
      <c r="H15" s="194"/>
      <c r="I15" s="195"/>
      <c r="J15" s="188"/>
      <c r="K15" s="196"/>
      <c r="L15" s="278"/>
      <c r="M15" s="198">
        <v>0</v>
      </c>
      <c r="N15" s="197"/>
      <c r="O15" s="197">
        <v>200000</v>
      </c>
      <c r="P15" s="198">
        <f t="shared" si="2"/>
        <v>200000</v>
      </c>
      <c r="Q15" s="197">
        <f t="shared" si="3"/>
        <v>200000</v>
      </c>
      <c r="R15" s="90" t="s">
        <v>31</v>
      </c>
      <c r="S15" s="234"/>
      <c r="T15" s="303"/>
    </row>
    <row r="16" spans="1:21" ht="12" customHeight="1">
      <c r="A16" s="199" t="s">
        <v>32</v>
      </c>
      <c r="B16" s="212">
        <f t="shared" ref="B16:H16" si="4">SUM(B10:B12)</f>
        <v>7500</v>
      </c>
      <c r="C16" s="201">
        <f t="shared" si="4"/>
        <v>7361</v>
      </c>
      <c r="D16" s="202">
        <f t="shared" si="4"/>
        <v>7500</v>
      </c>
      <c r="E16" s="203">
        <f t="shared" si="4"/>
        <v>7096</v>
      </c>
      <c r="F16" s="204">
        <f t="shared" si="4"/>
        <v>7500</v>
      </c>
      <c r="G16" s="205">
        <f t="shared" si="4"/>
        <v>9014</v>
      </c>
      <c r="H16" s="206">
        <f t="shared" si="4"/>
        <v>7500</v>
      </c>
      <c r="I16" s="207">
        <f>SUM(I10:I13)</f>
        <v>7977559</v>
      </c>
      <c r="J16" s="208">
        <f>((I16/1000)+G16+E16+C16)/4</f>
        <v>7862.1397500000003</v>
      </c>
      <c r="K16" s="209">
        <f>SUM(K10:K13)</f>
        <v>7950000</v>
      </c>
      <c r="L16" s="279">
        <f>SUM(L10:L13)</f>
        <v>7810176</v>
      </c>
      <c r="M16" s="211">
        <f>SUM(M10:M15)</f>
        <v>8150000</v>
      </c>
      <c r="N16" s="197"/>
      <c r="O16" s="197"/>
      <c r="P16" s="211">
        <f>SUM(P10:P15)</f>
        <v>8621407</v>
      </c>
      <c r="Q16" s="210">
        <f>P16-M16</f>
        <v>471407</v>
      </c>
      <c r="R16" s="90"/>
      <c r="S16" s="236">
        <f>SUM(S10:S15)</f>
        <v>7900000</v>
      </c>
      <c r="T16" s="304">
        <f>SUM(T10:T15)</f>
        <v>9000000</v>
      </c>
    </row>
    <row r="17" spans="1:20" ht="12" customHeight="1">
      <c r="A17" s="199"/>
      <c r="B17" s="212"/>
      <c r="C17" s="213"/>
      <c r="D17" s="202"/>
      <c r="E17" s="203"/>
      <c r="F17" s="204"/>
      <c r="G17" s="205"/>
      <c r="H17" s="206"/>
      <c r="I17" s="207"/>
      <c r="J17" s="208"/>
      <c r="K17" s="209"/>
      <c r="L17" s="279"/>
      <c r="M17" s="211"/>
      <c r="N17" s="197"/>
      <c r="O17" s="197"/>
      <c r="P17" s="211"/>
      <c r="Q17" s="197"/>
      <c r="R17" s="90"/>
      <c r="S17" s="236"/>
      <c r="T17" s="304"/>
    </row>
    <row r="18" spans="1:20" ht="12" customHeight="1">
      <c r="A18" s="90" t="s">
        <v>33</v>
      </c>
      <c r="B18" s="180">
        <v>500</v>
      </c>
      <c r="C18" s="181">
        <v>209</v>
      </c>
      <c r="D18" s="182">
        <v>1000</v>
      </c>
      <c r="E18" s="183">
        <v>564</v>
      </c>
      <c r="F18" s="192">
        <v>1000</v>
      </c>
      <c r="G18" s="193">
        <v>644</v>
      </c>
      <c r="H18" s="194">
        <v>500</v>
      </c>
      <c r="I18" s="195">
        <v>-766533</v>
      </c>
      <c r="J18" s="188">
        <f>((I18/1000)+G18+E18+C18)/4</f>
        <v>162.61675</v>
      </c>
      <c r="K18" s="196">
        <v>500000</v>
      </c>
      <c r="L18" s="278">
        <v>130996</v>
      </c>
      <c r="M18" s="198">
        <v>500000</v>
      </c>
      <c r="O18" s="197">
        <v>-750000</v>
      </c>
      <c r="P18" s="198">
        <f>M18+N18+O18</f>
        <v>-250000</v>
      </c>
      <c r="Q18" s="197">
        <f>P18-M18</f>
        <v>-750000</v>
      </c>
      <c r="R18" s="90" t="s">
        <v>34</v>
      </c>
      <c r="S18" s="234">
        <v>150000</v>
      </c>
      <c r="T18" s="303">
        <v>700000</v>
      </c>
    </row>
    <row r="19" spans="1:20" ht="12" customHeight="1">
      <c r="A19" s="90" t="s">
        <v>35</v>
      </c>
      <c r="B19" s="180">
        <v>0</v>
      </c>
      <c r="C19" s="181">
        <v>76</v>
      </c>
      <c r="D19" s="182">
        <v>0</v>
      </c>
      <c r="E19" s="183">
        <v>-4</v>
      </c>
      <c r="F19" s="192">
        <v>0</v>
      </c>
      <c r="G19" s="193">
        <v>57</v>
      </c>
      <c r="H19" s="194">
        <v>0</v>
      </c>
      <c r="I19" s="195">
        <v>954</v>
      </c>
      <c r="J19" s="188">
        <f>((I19/1000)+G19+E19+C19)/4</f>
        <v>32.488500000000002</v>
      </c>
      <c r="K19" s="196">
        <v>0</v>
      </c>
      <c r="L19" s="278">
        <v>148328</v>
      </c>
      <c r="M19" s="198"/>
      <c r="N19" s="197"/>
      <c r="O19" s="197">
        <v>-80000</v>
      </c>
      <c r="P19" s="198">
        <f>M19+N19+O19</f>
        <v>-80000</v>
      </c>
      <c r="Q19" s="197">
        <f>P19-M19</f>
        <v>-80000</v>
      </c>
      <c r="R19" s="90" t="s">
        <v>36</v>
      </c>
      <c r="S19" s="234">
        <v>0</v>
      </c>
      <c r="T19" s="303">
        <v>0</v>
      </c>
    </row>
    <row r="20" spans="1:20" ht="12" customHeight="1">
      <c r="A20" s="90" t="s">
        <v>37</v>
      </c>
      <c r="B20" s="180">
        <v>100</v>
      </c>
      <c r="C20" s="181">
        <v>100</v>
      </c>
      <c r="D20" s="182">
        <v>100</v>
      </c>
      <c r="E20" s="183">
        <v>155</v>
      </c>
      <c r="F20" s="192">
        <v>100</v>
      </c>
      <c r="G20" s="193">
        <v>93</v>
      </c>
      <c r="H20" s="194">
        <v>100</v>
      </c>
      <c r="I20" s="195">
        <v>100451</v>
      </c>
      <c r="J20" s="188">
        <f>((I20/1000)+G20+E20+C20)/4</f>
        <v>112.11275000000001</v>
      </c>
      <c r="K20" s="196">
        <v>100000</v>
      </c>
      <c r="L20" s="278">
        <v>100138</v>
      </c>
      <c r="M20" s="198">
        <v>100000</v>
      </c>
      <c r="N20" s="197"/>
      <c r="O20" s="197"/>
      <c r="P20" s="198">
        <f>M20+N20+O20</f>
        <v>100000</v>
      </c>
      <c r="Q20" s="197">
        <f>P20-M20</f>
        <v>0</v>
      </c>
      <c r="R20" s="90" t="s">
        <v>38</v>
      </c>
      <c r="S20" s="234">
        <v>100000</v>
      </c>
      <c r="T20" s="303">
        <v>100000</v>
      </c>
    </row>
    <row r="21" spans="1:20" ht="12" customHeight="1">
      <c r="A21" s="90" t="s">
        <v>39</v>
      </c>
      <c r="B21" s="180">
        <v>0</v>
      </c>
      <c r="C21" s="181">
        <v>408</v>
      </c>
      <c r="D21" s="182">
        <v>0</v>
      </c>
      <c r="E21" s="183">
        <v>471</v>
      </c>
      <c r="F21" s="192">
        <v>0</v>
      </c>
      <c r="G21" s="193">
        <v>73</v>
      </c>
      <c r="H21" s="194">
        <v>0</v>
      </c>
      <c r="I21" s="195">
        <v>1588099</v>
      </c>
      <c r="J21" s="188">
        <f>((I21/1000)+G21+E21+C21)/4</f>
        <v>635.02475000000004</v>
      </c>
      <c r="K21" s="196">
        <v>0</v>
      </c>
      <c r="L21" s="278">
        <v>1938595</v>
      </c>
      <c r="M21" s="198"/>
      <c r="N21" s="197">
        <v>300000</v>
      </c>
      <c r="O21" s="197"/>
      <c r="P21" s="198">
        <f>M21+N21+O21</f>
        <v>300000</v>
      </c>
      <c r="Q21" s="197">
        <f>P21-M21</f>
        <v>300000</v>
      </c>
      <c r="R21" s="90" t="s">
        <v>40</v>
      </c>
      <c r="S21" s="234">
        <v>0</v>
      </c>
      <c r="T21" s="303">
        <v>0</v>
      </c>
    </row>
    <row r="22" spans="1:20" ht="12" customHeight="1">
      <c r="A22" s="266" t="s">
        <v>41</v>
      </c>
      <c r="B22" s="180"/>
      <c r="C22" s="181"/>
      <c r="D22" s="182"/>
      <c r="E22" s="183">
        <v>1014</v>
      </c>
      <c r="F22" s="192"/>
      <c r="G22" s="193">
        <v>-113</v>
      </c>
      <c r="H22" s="194"/>
      <c r="I22" s="195"/>
      <c r="J22" s="188"/>
      <c r="K22" s="196">
        <v>0</v>
      </c>
      <c r="L22" s="278">
        <v>0</v>
      </c>
      <c r="M22" s="198"/>
      <c r="N22" s="197"/>
      <c r="O22" s="197"/>
      <c r="P22" s="198">
        <f>M22+N22+O22</f>
        <v>0</v>
      </c>
      <c r="Q22" s="197"/>
      <c r="R22" s="90"/>
      <c r="S22" s="234">
        <v>0</v>
      </c>
      <c r="T22" s="303">
        <v>0</v>
      </c>
    </row>
    <row r="23" spans="1:20" ht="12" customHeight="1">
      <c r="A23" s="199" t="s">
        <v>42</v>
      </c>
      <c r="B23" s="212">
        <f t="shared" ref="B23:D23" si="5">SUM(B18:B22)</f>
        <v>600</v>
      </c>
      <c r="C23" s="201">
        <f t="shared" si="5"/>
        <v>793</v>
      </c>
      <c r="D23" s="202">
        <f t="shared" si="5"/>
        <v>1100</v>
      </c>
      <c r="E23" s="203">
        <f>SUM(E18:E22)</f>
        <v>2200</v>
      </c>
      <c r="F23" s="204">
        <f t="shared" ref="F23:K23" si="6">SUM(F18:F22)</f>
        <v>1100</v>
      </c>
      <c r="G23" s="205">
        <f t="shared" si="6"/>
        <v>754</v>
      </c>
      <c r="H23" s="206">
        <f t="shared" si="6"/>
        <v>600</v>
      </c>
      <c r="I23" s="207">
        <f t="shared" si="6"/>
        <v>922971</v>
      </c>
      <c r="J23" s="208">
        <f>((I23/1000)+G23+E23+C23)/4</f>
        <v>1167.4927499999999</v>
      </c>
      <c r="K23" s="209">
        <f t="shared" si="6"/>
        <v>600000</v>
      </c>
      <c r="L23" s="279">
        <f>SUM(L18:L22)</f>
        <v>2318057</v>
      </c>
      <c r="M23" s="211">
        <f>SUM(M18:M22)</f>
        <v>600000</v>
      </c>
      <c r="N23" s="197"/>
      <c r="O23" s="197"/>
      <c r="P23" s="211">
        <f>SUM(P18:P22)</f>
        <v>70000</v>
      </c>
      <c r="Q23" s="210">
        <f>P23-M23</f>
        <v>-530000</v>
      </c>
      <c r="R23" s="90"/>
      <c r="S23" s="236">
        <f>SUM(S18:S22)</f>
        <v>250000</v>
      </c>
      <c r="T23" s="304">
        <f>SUM(T18:T22)</f>
        <v>800000</v>
      </c>
    </row>
    <row r="24" spans="1:20" ht="12" customHeight="1">
      <c r="A24" s="90"/>
      <c r="B24" s="180"/>
      <c r="C24" s="181"/>
      <c r="D24" s="182"/>
      <c r="E24" s="183"/>
      <c r="F24" s="192"/>
      <c r="G24" s="193"/>
      <c r="H24" s="194"/>
      <c r="I24" s="195"/>
      <c r="J24" s="188"/>
      <c r="K24" s="196"/>
      <c r="L24" s="278"/>
      <c r="M24" s="198"/>
      <c r="N24" s="197"/>
      <c r="O24" s="197"/>
      <c r="P24" s="198"/>
      <c r="Q24" s="197"/>
      <c r="R24" s="90"/>
      <c r="S24" s="234"/>
      <c r="T24" s="303"/>
    </row>
    <row r="25" spans="1:20" ht="12" customHeight="1">
      <c r="A25" s="199" t="s">
        <v>43</v>
      </c>
      <c r="B25" s="212">
        <v>10</v>
      </c>
      <c r="C25" s="201">
        <v>143</v>
      </c>
      <c r="D25" s="202">
        <v>10</v>
      </c>
      <c r="E25" s="203">
        <v>108</v>
      </c>
      <c r="F25" s="204">
        <v>50</v>
      </c>
      <c r="G25" s="205">
        <v>42</v>
      </c>
      <c r="H25" s="206">
        <v>50</v>
      </c>
      <c r="I25" s="207">
        <v>61548</v>
      </c>
      <c r="J25" s="208">
        <f>((I25/1000)+G25+E25+C25)/4</f>
        <v>88.637</v>
      </c>
      <c r="K25" s="209">
        <v>50000</v>
      </c>
      <c r="L25" s="279">
        <v>72288</v>
      </c>
      <c r="M25" s="211">
        <v>50000</v>
      </c>
      <c r="N25" s="197"/>
      <c r="O25" s="197"/>
      <c r="P25" s="211">
        <v>50000</v>
      </c>
      <c r="Q25" s="197">
        <f>P25-M25</f>
        <v>0</v>
      </c>
      <c r="R25" s="90"/>
      <c r="S25" s="236">
        <v>50000</v>
      </c>
      <c r="T25" s="304">
        <v>50000</v>
      </c>
    </row>
    <row r="26" spans="1:20" ht="12" customHeight="1">
      <c r="A26" s="90"/>
      <c r="B26" s="180"/>
      <c r="C26" s="181"/>
      <c r="D26" s="182"/>
      <c r="E26" s="183"/>
      <c r="F26" s="192"/>
      <c r="G26" s="193"/>
      <c r="H26" s="194"/>
      <c r="I26" s="195"/>
      <c r="J26" s="188"/>
      <c r="K26" s="196"/>
      <c r="L26" s="278"/>
      <c r="M26" s="198"/>
      <c r="N26" s="155"/>
      <c r="O26" s="155"/>
      <c r="P26" s="198"/>
      <c r="Q26" s="197"/>
      <c r="R26" s="90"/>
      <c r="S26" s="234"/>
      <c r="T26" s="303"/>
    </row>
    <row r="27" spans="1:20" ht="12" customHeight="1">
      <c r="A27" s="199" t="s">
        <v>44</v>
      </c>
      <c r="B27" s="200">
        <f t="shared" ref="B27:K27" si="7">+B8+B16+B23+B25</f>
        <v>16045</v>
      </c>
      <c r="C27" s="201">
        <f t="shared" si="7"/>
        <v>16174</v>
      </c>
      <c r="D27" s="202">
        <f t="shared" si="7"/>
        <v>16760</v>
      </c>
      <c r="E27" s="203">
        <f t="shared" si="7"/>
        <v>17622</v>
      </c>
      <c r="F27" s="204">
        <f t="shared" si="7"/>
        <v>16810</v>
      </c>
      <c r="G27" s="205">
        <f t="shared" si="7"/>
        <v>17900</v>
      </c>
      <c r="H27" s="206">
        <f t="shared" si="7"/>
        <v>16240</v>
      </c>
      <c r="I27" s="207">
        <f t="shared" si="7"/>
        <v>16861167</v>
      </c>
      <c r="J27" s="208">
        <f>((I27/1000)+G27+E27+C27)/4</f>
        <v>17139.29175</v>
      </c>
      <c r="K27" s="209">
        <f t="shared" si="7"/>
        <v>16528000</v>
      </c>
      <c r="L27" s="279">
        <f>+L25+L23+L16+L8</f>
        <v>17972492</v>
      </c>
      <c r="M27" s="211">
        <f>+M8+M16+M23+M25</f>
        <v>17000000</v>
      </c>
      <c r="N27" s="197">
        <f>SUM(N7:N26)</f>
        <v>-287322.72500000056</v>
      </c>
      <c r="O27" s="197">
        <f>SUM(O7:O26)</f>
        <v>-5000</v>
      </c>
      <c r="P27" s="211">
        <f>+P8+P16+P23+P25</f>
        <v>16707677.274999999</v>
      </c>
      <c r="Q27" s="197">
        <f>P27-M27</f>
        <v>-292322.72500000149</v>
      </c>
      <c r="R27" s="90"/>
      <c r="S27" s="236">
        <f>+S8+S16+S23+S25</f>
        <v>16300000</v>
      </c>
      <c r="T27" s="304">
        <f t="shared" ref="T27" si="8">+T8+T16+T23+T25</f>
        <v>18050000</v>
      </c>
    </row>
    <row r="28" spans="1:20" ht="12" customHeight="1">
      <c r="A28" s="199" t="s">
        <v>45</v>
      </c>
      <c r="B28" s="200"/>
      <c r="C28" s="201"/>
      <c r="D28" s="202"/>
      <c r="E28" s="203"/>
      <c r="F28" s="204"/>
      <c r="G28" s="205"/>
      <c r="H28" s="206"/>
      <c r="I28" s="265">
        <f>I27-I21</f>
        <v>15273068</v>
      </c>
      <c r="J28" s="208"/>
      <c r="K28" s="209"/>
      <c r="L28" s="279"/>
      <c r="M28" s="211">
        <f>M27-M21</f>
        <v>17000000</v>
      </c>
      <c r="N28" s="214"/>
      <c r="O28" s="214"/>
      <c r="P28" s="211">
        <f>P27-P21</f>
        <v>16407677.274999999</v>
      </c>
      <c r="Q28" s="210">
        <f>P28-M28</f>
        <v>-592322.72500000149</v>
      </c>
      <c r="R28" s="90"/>
      <c r="S28" s="236"/>
      <c r="T28" s="304"/>
    </row>
    <row r="29" spans="1:20" ht="12" customHeight="1">
      <c r="A29" s="199"/>
      <c r="B29" s="200"/>
      <c r="C29" s="214"/>
      <c r="D29" s="214"/>
      <c r="E29" s="214"/>
      <c r="F29" s="215"/>
      <c r="G29" s="214"/>
      <c r="H29" s="206"/>
      <c r="I29" s="214"/>
      <c r="J29" s="214"/>
      <c r="K29" s="214"/>
      <c r="L29" s="214"/>
      <c r="M29" s="214"/>
      <c r="N29" s="214"/>
      <c r="O29" s="214"/>
      <c r="P29" s="214"/>
      <c r="Q29" s="210"/>
      <c r="R29" s="90"/>
      <c r="S29" s="214"/>
      <c r="T29" s="214"/>
    </row>
    <row r="30" spans="1:20" ht="12" customHeight="1">
      <c r="A30" s="199"/>
      <c r="B30" s="200"/>
      <c r="C30" s="214"/>
      <c r="D30" s="214"/>
      <c r="E30" s="214"/>
      <c r="F30" s="215"/>
      <c r="G30" s="214"/>
      <c r="H30" s="206"/>
      <c r="I30" s="214"/>
      <c r="J30" s="214"/>
      <c r="K30" s="214"/>
      <c r="L30" s="214"/>
      <c r="M30" s="214"/>
      <c r="N30" s="214"/>
      <c r="O30" s="214"/>
      <c r="P30" s="214"/>
      <c r="Q30" s="210"/>
      <c r="R30" s="90"/>
      <c r="S30" s="214"/>
      <c r="T30" s="214"/>
    </row>
    <row r="31" spans="1:20" ht="12" customHeight="1">
      <c r="A31" s="90"/>
      <c r="B31" s="156"/>
      <c r="C31" s="90"/>
      <c r="D31" s="90"/>
      <c r="E31" s="90"/>
      <c r="F31" s="216"/>
      <c r="G31" s="90"/>
      <c r="H31" s="96"/>
      <c r="I31" s="90"/>
      <c r="J31" s="90"/>
      <c r="K31" s="90"/>
      <c r="L31" s="90"/>
      <c r="M31" s="90"/>
      <c r="N31" s="90"/>
      <c r="O31" s="90"/>
      <c r="P31" s="90"/>
      <c r="Q31" s="197"/>
      <c r="R31" s="90"/>
      <c r="S31" s="90"/>
      <c r="T31" s="90"/>
    </row>
    <row r="32" spans="1:20" ht="16">
      <c r="A32" s="23" t="s">
        <v>46</v>
      </c>
      <c r="B32" s="158" t="s">
        <v>4</v>
      </c>
      <c r="C32" s="159" t="s">
        <v>5</v>
      </c>
      <c r="D32" s="160" t="s">
        <v>4</v>
      </c>
      <c r="E32" s="161" t="s">
        <v>5</v>
      </c>
      <c r="F32" s="162" t="s">
        <v>4</v>
      </c>
      <c r="G32" s="163" t="s">
        <v>5</v>
      </c>
      <c r="H32" s="150" t="s">
        <v>4</v>
      </c>
      <c r="I32" s="164" t="s">
        <v>6</v>
      </c>
      <c r="J32" s="165" t="s">
        <v>7</v>
      </c>
      <c r="K32" s="166" t="s">
        <v>4</v>
      </c>
      <c r="L32" s="275" t="s">
        <v>6</v>
      </c>
      <c r="M32" s="167" t="s">
        <v>4</v>
      </c>
      <c r="N32" s="151" t="s">
        <v>8</v>
      </c>
      <c r="O32" s="151" t="s">
        <v>9</v>
      </c>
      <c r="P32" s="167" t="s">
        <v>10</v>
      </c>
      <c r="Q32" s="151" t="s">
        <v>11</v>
      </c>
      <c r="R32" s="90"/>
      <c r="S32" s="149" t="s">
        <v>4</v>
      </c>
      <c r="T32" s="300" t="s">
        <v>4</v>
      </c>
    </row>
    <row r="33" spans="1:21">
      <c r="A33" s="168"/>
      <c r="B33" s="169">
        <v>2015</v>
      </c>
      <c r="C33" s="170">
        <v>2015</v>
      </c>
      <c r="D33" s="171">
        <v>2016</v>
      </c>
      <c r="E33" s="172">
        <v>2016</v>
      </c>
      <c r="F33" s="173">
        <v>2017</v>
      </c>
      <c r="G33" s="174">
        <v>2017</v>
      </c>
      <c r="H33" s="175">
        <v>2018</v>
      </c>
      <c r="I33" s="176">
        <v>2018</v>
      </c>
      <c r="J33" s="177" t="s">
        <v>14</v>
      </c>
      <c r="K33" s="178">
        <v>2019</v>
      </c>
      <c r="L33" s="276">
        <v>2019</v>
      </c>
      <c r="M33" s="179">
        <v>2020</v>
      </c>
      <c r="N33" s="313"/>
      <c r="O33" s="313" t="s">
        <v>15</v>
      </c>
      <c r="P33" s="179">
        <v>2020</v>
      </c>
      <c r="Q33" s="153" t="s">
        <v>16</v>
      </c>
      <c r="R33" s="90"/>
      <c r="S33" s="295">
        <v>2021</v>
      </c>
      <c r="T33" s="301">
        <v>2022</v>
      </c>
    </row>
    <row r="34" spans="1:21" ht="12" customHeight="1">
      <c r="A34" s="90"/>
      <c r="B34" s="158"/>
      <c r="C34" s="159"/>
      <c r="D34" s="217"/>
      <c r="E34" s="218"/>
      <c r="F34" s="162"/>
      <c r="G34" s="163"/>
      <c r="H34" s="150"/>
      <c r="I34" s="164"/>
      <c r="J34" s="165"/>
      <c r="K34" s="166"/>
      <c r="L34" s="275"/>
      <c r="M34" s="219"/>
      <c r="N34" s="152"/>
      <c r="O34" s="152"/>
      <c r="P34" s="219"/>
      <c r="Q34" s="152"/>
      <c r="R34" s="90"/>
      <c r="S34" s="149"/>
      <c r="T34" s="300"/>
    </row>
    <row r="35" spans="1:21" ht="12" customHeight="1">
      <c r="A35" s="90" t="s">
        <v>47</v>
      </c>
      <c r="B35" s="180">
        <v>8600</v>
      </c>
      <c r="C35" s="181">
        <v>8377</v>
      </c>
      <c r="D35" s="182">
        <v>8750</v>
      </c>
      <c r="E35" s="183">
        <v>8660</v>
      </c>
      <c r="F35" s="192">
        <v>8950</v>
      </c>
      <c r="G35" s="193">
        <v>8799</v>
      </c>
      <c r="H35" s="220">
        <v>9050</v>
      </c>
      <c r="I35" s="221">
        <v>9082150</v>
      </c>
      <c r="J35" s="188">
        <f>((I35/1000)+G35+E35+C35)/4</f>
        <v>8729.5375000000004</v>
      </c>
      <c r="K35" s="222">
        <v>9200000</v>
      </c>
      <c r="L35" s="280">
        <v>9141385</v>
      </c>
      <c r="M35" s="224">
        <v>9350000</v>
      </c>
      <c r="N35" s="223"/>
      <c r="O35" s="223"/>
      <c r="P35" s="198">
        <f t="shared" ref="P35:P37" si="9">M35+N35+O35</f>
        <v>9350000</v>
      </c>
      <c r="Q35" s="223">
        <f>P35-M35</f>
        <v>0</v>
      </c>
      <c r="R35" s="90"/>
      <c r="S35" s="234">
        <v>9400000</v>
      </c>
      <c r="T35" s="303">
        <v>9400000</v>
      </c>
    </row>
    <row r="36" spans="1:21" ht="12" customHeight="1">
      <c r="A36" s="90" t="s">
        <v>48</v>
      </c>
      <c r="B36" s="180">
        <v>650</v>
      </c>
      <c r="C36" s="181">
        <v>712</v>
      </c>
      <c r="D36" s="182">
        <v>650</v>
      </c>
      <c r="E36" s="183">
        <v>718</v>
      </c>
      <c r="F36" s="192">
        <v>650</v>
      </c>
      <c r="G36" s="193">
        <v>656</v>
      </c>
      <c r="H36" s="194">
        <v>650</v>
      </c>
      <c r="I36" s="195">
        <v>619733</v>
      </c>
      <c r="J36" s="188">
        <f>((I36/1000)+G36+E36+C36)/4</f>
        <v>676.43325000000004</v>
      </c>
      <c r="K36" s="196">
        <v>650000</v>
      </c>
      <c r="L36" s="278">
        <v>617959</v>
      </c>
      <c r="M36" s="198">
        <v>650000</v>
      </c>
      <c r="N36" s="223"/>
      <c r="O36" s="223">
        <v>-50000</v>
      </c>
      <c r="P36" s="198">
        <f t="shared" si="9"/>
        <v>600000</v>
      </c>
      <c r="Q36" s="223">
        <f>P36-M36</f>
        <v>-50000</v>
      </c>
      <c r="R36" s="90" t="s">
        <v>49</v>
      </c>
      <c r="S36" s="234">
        <v>650000</v>
      </c>
      <c r="T36" s="303">
        <v>650000</v>
      </c>
    </row>
    <row r="37" spans="1:21" ht="12" customHeight="1">
      <c r="A37" s="90" t="s">
        <v>50</v>
      </c>
      <c r="B37" s="180">
        <v>250</v>
      </c>
      <c r="C37" s="181">
        <v>208</v>
      </c>
      <c r="D37" s="182">
        <v>250</v>
      </c>
      <c r="E37" s="183">
        <v>343</v>
      </c>
      <c r="F37" s="192">
        <v>250</v>
      </c>
      <c r="G37" s="193">
        <v>228</v>
      </c>
      <c r="H37" s="194">
        <v>250</v>
      </c>
      <c r="I37" s="195">
        <v>232366</v>
      </c>
      <c r="J37" s="188">
        <f>((I37/1000)+G37+E37+C37)/4</f>
        <v>252.8415</v>
      </c>
      <c r="K37" s="196">
        <v>250000</v>
      </c>
      <c r="L37" s="278">
        <v>273399</v>
      </c>
      <c r="M37" s="198">
        <v>250000</v>
      </c>
      <c r="N37" s="225"/>
      <c r="O37" s="223">
        <v>-50000</v>
      </c>
      <c r="P37" s="198">
        <f t="shared" si="9"/>
        <v>200000</v>
      </c>
      <c r="Q37" s="223">
        <f>P37-M37</f>
        <v>-50000</v>
      </c>
      <c r="R37" s="96" t="s">
        <v>51</v>
      </c>
      <c r="S37" s="234">
        <v>300000</v>
      </c>
      <c r="T37" s="303">
        <v>300000</v>
      </c>
    </row>
    <row r="38" spans="1:21" ht="12" customHeight="1">
      <c r="A38" s="199" t="s">
        <v>52</v>
      </c>
      <c r="B38" s="212">
        <f>SUM(B35:B37)</f>
        <v>9500</v>
      </c>
      <c r="C38" s="201">
        <f t="shared" ref="C38:K38" si="10">SUM(C35:C37)</f>
        <v>9297</v>
      </c>
      <c r="D38" s="202">
        <f t="shared" si="10"/>
        <v>9650</v>
      </c>
      <c r="E38" s="203">
        <f t="shared" si="10"/>
        <v>9721</v>
      </c>
      <c r="F38" s="204">
        <f t="shared" si="10"/>
        <v>9850</v>
      </c>
      <c r="G38" s="226">
        <f t="shared" si="10"/>
        <v>9683</v>
      </c>
      <c r="H38" s="206">
        <f t="shared" si="10"/>
        <v>9950</v>
      </c>
      <c r="I38" s="207">
        <f t="shared" si="10"/>
        <v>9934249</v>
      </c>
      <c r="J38" s="208">
        <f>((I38/1000)+G38+E38+C38)/4</f>
        <v>9658.812249999999</v>
      </c>
      <c r="K38" s="209">
        <f t="shared" si="10"/>
        <v>10100000</v>
      </c>
      <c r="L38" s="279">
        <f>SUM(L35:L37)</f>
        <v>10032743</v>
      </c>
      <c r="M38" s="211">
        <f>SUM(M35:M37)</f>
        <v>10250000</v>
      </c>
      <c r="N38" s="214"/>
      <c r="O38" s="214"/>
      <c r="P38" s="211">
        <f t="shared" ref="P38" si="11">SUM(P35:P37)</f>
        <v>10150000</v>
      </c>
      <c r="Q38" s="214">
        <f>P38-M38</f>
        <v>-100000</v>
      </c>
      <c r="R38" s="90"/>
      <c r="S38" s="236">
        <f>SUM(S35:S37)</f>
        <v>10350000</v>
      </c>
      <c r="T38" s="304">
        <f>SUM(T35:T37)</f>
        <v>10350000</v>
      </c>
    </row>
    <row r="39" spans="1:21" ht="12" customHeight="1">
      <c r="A39" s="199"/>
      <c r="B39" s="212"/>
      <c r="C39" s="201"/>
      <c r="D39" s="202"/>
      <c r="E39" s="203"/>
      <c r="F39" s="204"/>
      <c r="G39" s="205"/>
      <c r="H39" s="206"/>
      <c r="I39" s="207"/>
      <c r="J39" s="208"/>
      <c r="K39" s="209"/>
      <c r="L39" s="279"/>
      <c r="M39" s="211"/>
      <c r="N39" s="223"/>
      <c r="O39" s="223"/>
      <c r="P39" s="211"/>
      <c r="Q39" s="223"/>
      <c r="R39" s="90"/>
      <c r="S39" s="236"/>
      <c r="T39" s="304"/>
    </row>
    <row r="40" spans="1:21" ht="12" customHeight="1">
      <c r="A40" s="90" t="s">
        <v>53</v>
      </c>
      <c r="B40" s="180">
        <v>150</v>
      </c>
      <c r="C40" s="181">
        <v>74</v>
      </c>
      <c r="D40" s="182">
        <v>350</v>
      </c>
      <c r="E40" s="183">
        <v>171</v>
      </c>
      <c r="F40" s="192">
        <v>250</v>
      </c>
      <c r="G40" s="193">
        <v>172</v>
      </c>
      <c r="H40" s="194">
        <v>250</v>
      </c>
      <c r="I40" s="195">
        <v>151740</v>
      </c>
      <c r="J40" s="188">
        <f>((I40/1000)+G40+E40+C40)/4</f>
        <v>142.185</v>
      </c>
      <c r="K40" s="196">
        <v>250000</v>
      </c>
      <c r="L40" s="278">
        <v>175767</v>
      </c>
      <c r="M40" s="198">
        <v>250000</v>
      </c>
      <c r="N40" s="223"/>
      <c r="O40" s="223"/>
      <c r="P40" s="198">
        <f t="shared" ref="P40:P43" si="12">M40+N40+O40</f>
        <v>250000</v>
      </c>
      <c r="Q40" s="223">
        <f>P40-M40</f>
        <v>0</v>
      </c>
      <c r="R40" s="90"/>
      <c r="S40" s="234">
        <v>325000</v>
      </c>
      <c r="T40" s="303">
        <v>300000</v>
      </c>
    </row>
    <row r="41" spans="1:21" ht="12" customHeight="1">
      <c r="A41" s="90" t="s">
        <v>54</v>
      </c>
      <c r="B41" s="180">
        <v>125</v>
      </c>
      <c r="C41" s="181">
        <v>252</v>
      </c>
      <c r="D41" s="182">
        <v>125</v>
      </c>
      <c r="E41" s="183">
        <v>299</v>
      </c>
      <c r="F41" s="192">
        <v>125</v>
      </c>
      <c r="G41" s="193">
        <v>189</v>
      </c>
      <c r="H41" s="194">
        <v>125</v>
      </c>
      <c r="I41" s="195">
        <v>174821</v>
      </c>
      <c r="J41" s="188">
        <f>((I41/1000)+G41+E41+C41)/4</f>
        <v>228.70525000000001</v>
      </c>
      <c r="K41" s="196">
        <v>150000</v>
      </c>
      <c r="L41" s="278">
        <v>159834</v>
      </c>
      <c r="M41" s="198">
        <v>150000</v>
      </c>
      <c r="N41" s="223"/>
      <c r="O41" s="223"/>
      <c r="P41" s="198">
        <f t="shared" si="12"/>
        <v>150000</v>
      </c>
      <c r="Q41" s="223">
        <f>P41-M41</f>
        <v>0</v>
      </c>
      <c r="R41" s="90"/>
      <c r="S41" s="234">
        <v>150000</v>
      </c>
      <c r="T41" s="303">
        <v>150000</v>
      </c>
    </row>
    <row r="42" spans="1:21" ht="12" customHeight="1">
      <c r="A42" s="227" t="s">
        <v>55</v>
      </c>
      <c r="B42" s="180">
        <v>0</v>
      </c>
      <c r="C42" s="181">
        <v>0</v>
      </c>
      <c r="D42" s="182">
        <v>0</v>
      </c>
      <c r="E42" s="183">
        <v>24</v>
      </c>
      <c r="F42" s="192">
        <v>0</v>
      </c>
      <c r="G42" s="193">
        <v>0</v>
      </c>
      <c r="H42" s="194">
        <v>0</v>
      </c>
      <c r="I42" s="195"/>
      <c r="J42" s="188">
        <f>((I42/1000)+G42+E42+C42)/4</f>
        <v>6</v>
      </c>
      <c r="K42" s="196">
        <v>0</v>
      </c>
      <c r="L42" s="278">
        <v>0</v>
      </c>
      <c r="M42" s="198"/>
      <c r="N42" s="223"/>
      <c r="O42" s="223"/>
      <c r="P42" s="198"/>
      <c r="Q42" s="223">
        <f>P42-M42</f>
        <v>0</v>
      </c>
      <c r="R42" s="90"/>
      <c r="S42" s="234">
        <v>0</v>
      </c>
      <c r="T42" s="303">
        <v>0</v>
      </c>
    </row>
    <row r="43" spans="1:21" ht="12" customHeight="1">
      <c r="A43" s="90" t="s">
        <v>56</v>
      </c>
      <c r="B43" s="180">
        <v>50</v>
      </c>
      <c r="C43" s="181">
        <v>10</v>
      </c>
      <c r="D43" s="182">
        <v>50</v>
      </c>
      <c r="E43" s="183">
        <v>0</v>
      </c>
      <c r="F43" s="192">
        <v>25</v>
      </c>
      <c r="G43" s="193">
        <v>148</v>
      </c>
      <c r="H43" s="194">
        <v>25</v>
      </c>
      <c r="I43" s="195">
        <v>8000</v>
      </c>
      <c r="J43" s="188">
        <f>((I43/1000)+G43+E43+C43)/4</f>
        <v>41.5</v>
      </c>
      <c r="K43" s="196">
        <v>25000</v>
      </c>
      <c r="L43" s="278">
        <v>8215</v>
      </c>
      <c r="M43" s="198">
        <v>25000</v>
      </c>
      <c r="N43" s="225"/>
      <c r="O43" s="225"/>
      <c r="P43" s="198">
        <f t="shared" si="12"/>
        <v>25000</v>
      </c>
      <c r="Q43" s="225">
        <f>P43-M43</f>
        <v>0</v>
      </c>
      <c r="R43" s="90"/>
      <c r="S43" s="234">
        <v>25000</v>
      </c>
      <c r="T43" s="303">
        <v>25000</v>
      </c>
    </row>
    <row r="44" spans="1:21" ht="12" customHeight="1">
      <c r="A44" s="199" t="s">
        <v>57</v>
      </c>
      <c r="B44" s="212">
        <f t="shared" ref="B44:E44" si="13">SUM(B40:B43)</f>
        <v>325</v>
      </c>
      <c r="C44" s="213">
        <f t="shared" si="13"/>
        <v>336</v>
      </c>
      <c r="D44" s="202">
        <f t="shared" si="13"/>
        <v>525</v>
      </c>
      <c r="E44" s="203">
        <f t="shared" si="13"/>
        <v>494</v>
      </c>
      <c r="F44" s="204">
        <f t="shared" ref="F44:K44" si="14">SUM(F40:F43)</f>
        <v>400</v>
      </c>
      <c r="G44" s="205">
        <f t="shared" si="14"/>
        <v>509</v>
      </c>
      <c r="H44" s="206">
        <f>SUM(H40:H43)</f>
        <v>400</v>
      </c>
      <c r="I44" s="207">
        <f>SUM(I40:I43)</f>
        <v>334561</v>
      </c>
      <c r="J44" s="208">
        <f>((I44/1000)+G44+E44+C44)/4</f>
        <v>418.39024999999998</v>
      </c>
      <c r="K44" s="209">
        <f t="shared" si="14"/>
        <v>425000</v>
      </c>
      <c r="L44" s="279">
        <f>SUM(L40:L43)</f>
        <v>343816</v>
      </c>
      <c r="M44" s="211">
        <f>SUM(M40:M43)</f>
        <v>425000</v>
      </c>
      <c r="N44" s="214"/>
      <c r="O44" s="214"/>
      <c r="P44" s="211">
        <f t="shared" ref="P44" si="15">SUM(P40:P43)</f>
        <v>425000</v>
      </c>
      <c r="Q44" s="214">
        <f>P44-M44</f>
        <v>0</v>
      </c>
      <c r="R44" s="90"/>
      <c r="S44" s="236">
        <f t="shared" ref="S44:T44" si="16">SUM(S40:S43)</f>
        <v>500000</v>
      </c>
      <c r="T44" s="304">
        <f t="shared" si="16"/>
        <v>475000</v>
      </c>
    </row>
    <row r="45" spans="1:21" ht="12" customHeight="1">
      <c r="A45" s="199"/>
      <c r="B45" s="212"/>
      <c r="C45" s="213"/>
      <c r="D45" s="202"/>
      <c r="E45" s="203"/>
      <c r="F45" s="204"/>
      <c r="G45" s="205"/>
      <c r="H45" s="206"/>
      <c r="I45" s="207"/>
      <c r="J45" s="208"/>
      <c r="K45" s="209"/>
      <c r="L45" s="279"/>
      <c r="M45" s="211"/>
      <c r="N45" s="223"/>
      <c r="O45" s="223"/>
      <c r="P45" s="211"/>
      <c r="Q45" s="223"/>
      <c r="R45" s="90"/>
      <c r="S45" s="236"/>
      <c r="T45" s="304"/>
    </row>
    <row r="46" spans="1:21" ht="12" customHeight="1">
      <c r="A46" t="s">
        <v>58</v>
      </c>
      <c r="B46" s="180">
        <v>300</v>
      </c>
      <c r="C46" s="181">
        <v>192</v>
      </c>
      <c r="D46" s="182">
        <v>500</v>
      </c>
      <c r="E46" s="183">
        <v>249</v>
      </c>
      <c r="F46" s="192">
        <v>400</v>
      </c>
      <c r="G46" s="193">
        <v>289</v>
      </c>
      <c r="H46" s="194">
        <v>400</v>
      </c>
      <c r="I46" s="195">
        <v>382533</v>
      </c>
      <c r="J46" s="188">
        <f>((I46/1000)+G46+E46+C46)/4</f>
        <v>278.13324999999998</v>
      </c>
      <c r="K46" s="196">
        <v>600000</v>
      </c>
      <c r="L46" s="278">
        <v>529235</v>
      </c>
      <c r="M46" s="198">
        <v>300000</v>
      </c>
      <c r="N46" s="225"/>
      <c r="O46" s="225"/>
      <c r="P46" s="198">
        <f t="shared" ref="P46" si="17">M46+N46+O46</f>
        <v>300000</v>
      </c>
      <c r="Q46" s="225">
        <f>P46-M46</f>
        <v>0</v>
      </c>
      <c r="R46" s="90"/>
      <c r="S46" s="234">
        <f>300000+S107</f>
        <v>1515000</v>
      </c>
      <c r="T46" s="303">
        <f>300000+T107</f>
        <v>1905000</v>
      </c>
      <c r="U46" s="266" t="s">
        <v>59</v>
      </c>
    </row>
    <row r="47" spans="1:21" ht="12" customHeight="1">
      <c r="A47" s="199" t="s">
        <v>60</v>
      </c>
      <c r="B47" s="212">
        <f t="shared" ref="B47:K47" si="18">SUM(B46)</f>
        <v>300</v>
      </c>
      <c r="C47" s="213">
        <f t="shared" si="18"/>
        <v>192</v>
      </c>
      <c r="D47" s="202">
        <f t="shared" si="18"/>
        <v>500</v>
      </c>
      <c r="E47" s="203">
        <f t="shared" si="18"/>
        <v>249</v>
      </c>
      <c r="F47" s="204">
        <f t="shared" si="18"/>
        <v>400</v>
      </c>
      <c r="G47" s="228">
        <f t="shared" si="18"/>
        <v>289</v>
      </c>
      <c r="H47" s="229">
        <f t="shared" si="18"/>
        <v>400</v>
      </c>
      <c r="I47" s="207">
        <f t="shared" si="18"/>
        <v>382533</v>
      </c>
      <c r="J47" s="208">
        <f>((I47/1000)+G47+E47+C47)/4</f>
        <v>278.13324999999998</v>
      </c>
      <c r="K47" s="209">
        <f t="shared" si="18"/>
        <v>600000</v>
      </c>
      <c r="L47" s="279">
        <f>SUM(L46)</f>
        <v>529235</v>
      </c>
      <c r="M47" s="211">
        <f>SUM(M46)</f>
        <v>300000</v>
      </c>
      <c r="N47" s="155"/>
      <c r="O47" s="155"/>
      <c r="P47" s="211">
        <f t="shared" ref="P47" si="19">SUM(P46)</f>
        <v>300000</v>
      </c>
      <c r="Q47" s="155">
        <f>P47-M47</f>
        <v>0</v>
      </c>
      <c r="R47" s="90"/>
      <c r="S47" s="236">
        <f t="shared" ref="S47:T47" si="20">SUM(S46)</f>
        <v>1515000</v>
      </c>
      <c r="T47" s="304">
        <f t="shared" si="20"/>
        <v>1905000</v>
      </c>
    </row>
    <row r="48" spans="1:21" ht="12" customHeight="1">
      <c r="A48" s="90"/>
      <c r="B48" s="180"/>
      <c r="C48" s="181"/>
      <c r="D48" s="182"/>
      <c r="E48" s="183"/>
      <c r="F48" s="192"/>
      <c r="G48" s="193"/>
      <c r="H48" s="194"/>
      <c r="I48" s="195"/>
      <c r="J48" s="188"/>
      <c r="K48" s="196"/>
      <c r="L48" s="278"/>
      <c r="M48" s="198"/>
      <c r="N48" s="223"/>
      <c r="O48" s="223"/>
      <c r="P48" s="198"/>
      <c r="Q48" s="223"/>
      <c r="R48" s="90"/>
      <c r="S48" s="234"/>
      <c r="T48" s="303"/>
    </row>
    <row r="49" spans="1:21" ht="12" customHeight="1">
      <c r="A49" t="s">
        <v>61</v>
      </c>
      <c r="B49" s="180">
        <v>480</v>
      </c>
      <c r="C49" s="181">
        <v>344</v>
      </c>
      <c r="D49" s="182">
        <v>480</v>
      </c>
      <c r="E49" s="183">
        <v>481</v>
      </c>
      <c r="F49" s="192">
        <v>460</v>
      </c>
      <c r="G49" s="193">
        <v>418</v>
      </c>
      <c r="H49" s="194">
        <v>475</v>
      </c>
      <c r="I49" s="195">
        <v>485274</v>
      </c>
      <c r="J49" s="188">
        <f t="shared" ref="J49:J58" si="21">((I49/1000)+G49+E49+C49)/4</f>
        <v>432.06849999999997</v>
      </c>
      <c r="K49" s="196">
        <v>475000</v>
      </c>
      <c r="L49" s="278">
        <v>422289</v>
      </c>
      <c r="M49" s="198">
        <v>475000</v>
      </c>
      <c r="N49" s="223">
        <f>247330-M49</f>
        <v>-227670</v>
      </c>
      <c r="O49" s="223"/>
      <c r="P49" s="198">
        <f t="shared" ref="P49:P57" si="22">M49+N49+O49</f>
        <v>247330</v>
      </c>
      <c r="Q49" s="223">
        <f>P49-M49</f>
        <v>-227670</v>
      </c>
      <c r="R49" s="90" t="s">
        <v>62</v>
      </c>
      <c r="S49" s="234">
        <v>250000</v>
      </c>
      <c r="T49" s="303">
        <f>S49</f>
        <v>250000</v>
      </c>
    </row>
    <row r="50" spans="1:21" ht="12" customHeight="1">
      <c r="A50" s="90" t="s">
        <v>63</v>
      </c>
      <c r="B50" s="180">
        <v>225</v>
      </c>
      <c r="C50" s="181">
        <v>218</v>
      </c>
      <c r="D50" s="182">
        <v>225</v>
      </c>
      <c r="E50" s="183">
        <v>240</v>
      </c>
      <c r="F50" s="192">
        <v>225</v>
      </c>
      <c r="G50" s="193">
        <v>213</v>
      </c>
      <c r="H50" s="194">
        <v>220</v>
      </c>
      <c r="I50" s="195">
        <v>214305</v>
      </c>
      <c r="J50" s="188">
        <f t="shared" si="21"/>
        <v>221.32625000000002</v>
      </c>
      <c r="K50" s="196">
        <v>220000</v>
      </c>
      <c r="L50" s="278">
        <v>185864</v>
      </c>
      <c r="M50" s="198">
        <v>220000</v>
      </c>
      <c r="N50" s="223">
        <f>169785-M50</f>
        <v>-50215</v>
      </c>
      <c r="O50" s="223"/>
      <c r="P50" s="198">
        <f t="shared" si="22"/>
        <v>169785</v>
      </c>
      <c r="Q50" s="223">
        <f>P50-M50</f>
        <v>-50215</v>
      </c>
      <c r="R50" s="90" t="s">
        <v>62</v>
      </c>
      <c r="S50" s="234">
        <v>175000</v>
      </c>
      <c r="T50" s="303">
        <f t="shared" ref="T50:T57" si="23">S50</f>
        <v>175000</v>
      </c>
    </row>
    <row r="51" spans="1:21" ht="12" customHeight="1">
      <c r="A51" s="90" t="s">
        <v>64</v>
      </c>
      <c r="B51" s="180">
        <v>220</v>
      </c>
      <c r="C51" s="230">
        <v>206</v>
      </c>
      <c r="D51" s="182">
        <v>220</v>
      </c>
      <c r="E51" s="183">
        <v>186</v>
      </c>
      <c r="F51" s="192">
        <v>270</v>
      </c>
      <c r="G51" s="193">
        <v>191</v>
      </c>
      <c r="H51" s="194">
        <v>220</v>
      </c>
      <c r="I51" s="195">
        <v>164225</v>
      </c>
      <c r="J51" s="188">
        <f t="shared" si="21"/>
        <v>186.80625000000001</v>
      </c>
      <c r="K51" s="196">
        <v>200000</v>
      </c>
      <c r="L51" s="278">
        <v>173000</v>
      </c>
      <c r="M51" s="198">
        <v>200000</v>
      </c>
      <c r="N51" s="223">
        <f>135134-M51</f>
        <v>-64866</v>
      </c>
      <c r="O51" s="223"/>
      <c r="P51" s="198">
        <f t="shared" si="22"/>
        <v>135134</v>
      </c>
      <c r="Q51" s="223">
        <f>P51-M51</f>
        <v>-64866</v>
      </c>
      <c r="R51" s="90" t="s">
        <v>62</v>
      </c>
      <c r="S51" s="234">
        <v>135000</v>
      </c>
      <c r="T51" s="303">
        <f t="shared" si="23"/>
        <v>135000</v>
      </c>
    </row>
    <row r="52" spans="1:21" ht="12" customHeight="1">
      <c r="A52" s="231" t="s">
        <v>65</v>
      </c>
      <c r="B52" s="180">
        <v>180</v>
      </c>
      <c r="C52" s="230">
        <v>151</v>
      </c>
      <c r="D52" s="182">
        <v>180</v>
      </c>
      <c r="E52" s="183">
        <v>145</v>
      </c>
      <c r="F52" s="192">
        <v>215</v>
      </c>
      <c r="G52" s="193">
        <v>251</v>
      </c>
      <c r="H52" s="194">
        <v>250</v>
      </c>
      <c r="I52" s="195">
        <v>168521</v>
      </c>
      <c r="J52" s="188">
        <f t="shared" si="21"/>
        <v>178.88024999999999</v>
      </c>
      <c r="K52" s="196">
        <v>250000</v>
      </c>
      <c r="L52" s="278">
        <v>193643</v>
      </c>
      <c r="M52" s="198">
        <v>250000</v>
      </c>
      <c r="N52" s="155">
        <f>177800-M52</f>
        <v>-72200</v>
      </c>
      <c r="O52" s="155"/>
      <c r="P52" s="198">
        <f t="shared" si="22"/>
        <v>177800</v>
      </c>
      <c r="Q52" s="155">
        <f>P52-M52</f>
        <v>-72200</v>
      </c>
      <c r="R52" s="90" t="s">
        <v>62</v>
      </c>
      <c r="S52" s="234">
        <v>180000</v>
      </c>
      <c r="T52" s="303">
        <f t="shared" si="23"/>
        <v>180000</v>
      </c>
    </row>
    <row r="53" spans="1:21" ht="12" customHeight="1">
      <c r="A53" s="264" t="s">
        <v>66</v>
      </c>
      <c r="B53" s="180"/>
      <c r="C53" s="230"/>
      <c r="D53" s="182"/>
      <c r="E53" s="183"/>
      <c r="F53" s="192">
        <v>360</v>
      </c>
      <c r="G53" s="193"/>
      <c r="H53" s="194"/>
      <c r="I53" s="195"/>
      <c r="J53" s="188">
        <f t="shared" si="21"/>
        <v>0</v>
      </c>
      <c r="K53" s="196">
        <v>0</v>
      </c>
      <c r="L53" s="278">
        <v>0</v>
      </c>
      <c r="M53" s="198"/>
      <c r="N53" s="223"/>
      <c r="O53" s="223"/>
      <c r="P53" s="198">
        <f t="shared" si="22"/>
        <v>0</v>
      </c>
      <c r="Q53" s="223"/>
      <c r="R53" s="90"/>
      <c r="S53" s="234">
        <v>0</v>
      </c>
      <c r="T53" s="303">
        <f t="shared" si="23"/>
        <v>0</v>
      </c>
    </row>
    <row r="54" spans="1:21" ht="12" customHeight="1">
      <c r="A54" s="231" t="s">
        <v>67</v>
      </c>
      <c r="B54" s="180"/>
      <c r="C54" s="230"/>
      <c r="D54" s="182"/>
      <c r="E54" s="183"/>
      <c r="F54" s="192"/>
      <c r="G54" s="193"/>
      <c r="H54" s="194"/>
      <c r="I54" s="195">
        <v>7065</v>
      </c>
      <c r="J54" s="188">
        <f t="shared" si="21"/>
        <v>1.7662500000000001</v>
      </c>
      <c r="K54" s="196">
        <v>0</v>
      </c>
      <c r="L54" s="278">
        <v>46115</v>
      </c>
      <c r="M54" s="198"/>
      <c r="N54" s="223"/>
      <c r="O54" s="223"/>
      <c r="P54" s="198">
        <f t="shared" si="22"/>
        <v>0</v>
      </c>
      <c r="Q54" s="223"/>
      <c r="R54" s="90"/>
      <c r="S54" s="234">
        <v>0</v>
      </c>
      <c r="T54" s="303">
        <f t="shared" si="23"/>
        <v>0</v>
      </c>
    </row>
    <row r="55" spans="1:21" ht="12" customHeight="1">
      <c r="A55" s="331" t="s">
        <v>68</v>
      </c>
      <c r="B55" s="180">
        <v>350</v>
      </c>
      <c r="C55" s="230">
        <v>696</v>
      </c>
      <c r="D55" s="182">
        <v>350</v>
      </c>
      <c r="E55" s="183">
        <v>329</v>
      </c>
      <c r="F55" s="192">
        <v>150</v>
      </c>
      <c r="G55" s="193">
        <v>640</v>
      </c>
      <c r="H55" s="194">
        <v>215</v>
      </c>
      <c r="I55" s="195">
        <v>162522</v>
      </c>
      <c r="J55" s="188">
        <f t="shared" si="21"/>
        <v>456.88049999999998</v>
      </c>
      <c r="K55" s="196">
        <v>250000</v>
      </c>
      <c r="L55" s="278">
        <v>147770</v>
      </c>
      <c r="M55" s="198">
        <v>250000</v>
      </c>
      <c r="N55" s="223">
        <f>120000-M55</f>
        <v>-130000</v>
      </c>
      <c r="O55" s="225"/>
      <c r="P55" s="198">
        <f t="shared" si="22"/>
        <v>120000</v>
      </c>
      <c r="Q55" s="225">
        <f>P55-M55</f>
        <v>-130000</v>
      </c>
      <c r="R55" s="90" t="s">
        <v>62</v>
      </c>
      <c r="S55" s="234">
        <v>120000</v>
      </c>
      <c r="T55" s="303">
        <f t="shared" si="23"/>
        <v>120000</v>
      </c>
    </row>
    <row r="56" spans="1:21" ht="12" customHeight="1">
      <c r="A56" s="332" t="s">
        <v>69</v>
      </c>
      <c r="B56" s="316"/>
      <c r="C56" s="322"/>
      <c r="D56" s="186"/>
      <c r="E56" s="186"/>
      <c r="F56" s="321"/>
      <c r="G56" s="194"/>
      <c r="H56" s="194"/>
      <c r="I56" s="194"/>
      <c r="J56" s="319"/>
      <c r="K56" s="194"/>
      <c r="L56" s="194"/>
      <c r="M56" s="194"/>
      <c r="N56" s="323"/>
      <c r="O56" s="320"/>
      <c r="P56" s="194"/>
      <c r="Q56" s="223">
        <f>P56-M56</f>
        <v>0</v>
      </c>
      <c r="R56" s="96"/>
      <c r="S56" s="194">
        <f>V133</f>
        <v>150000</v>
      </c>
      <c r="T56" s="194">
        <f>S56</f>
        <v>150000</v>
      </c>
    </row>
    <row r="57" spans="1:21" ht="12" customHeight="1">
      <c r="A57" s="331" t="s">
        <v>70</v>
      </c>
      <c r="B57" s="180"/>
      <c r="C57" s="230"/>
      <c r="D57" s="182"/>
      <c r="E57" s="183"/>
      <c r="F57" s="192"/>
      <c r="G57" s="193"/>
      <c r="H57" s="194"/>
      <c r="I57" s="195"/>
      <c r="J57" s="188"/>
      <c r="K57" s="196"/>
      <c r="L57" s="278"/>
      <c r="M57" s="198"/>
      <c r="N57" s="223">
        <v>235000</v>
      </c>
      <c r="O57" s="225"/>
      <c r="P57" s="198">
        <f t="shared" si="22"/>
        <v>235000</v>
      </c>
      <c r="Q57" s="225"/>
      <c r="R57" s="90" t="s">
        <v>62</v>
      </c>
      <c r="S57" s="234">
        <v>150000</v>
      </c>
      <c r="T57" s="303">
        <f t="shared" si="23"/>
        <v>150000</v>
      </c>
      <c r="U57" s="266" t="s">
        <v>71</v>
      </c>
    </row>
    <row r="58" spans="1:21" ht="12" customHeight="1">
      <c r="A58" s="199" t="s">
        <v>72</v>
      </c>
      <c r="B58" s="212">
        <f>SUM(B49:B55)</f>
        <v>1455</v>
      </c>
      <c r="C58" s="201">
        <f t="shared" ref="C58:K58" si="24">SUM(C49:C55)</f>
        <v>1615</v>
      </c>
      <c r="D58" s="202">
        <f t="shared" si="24"/>
        <v>1455</v>
      </c>
      <c r="E58" s="203">
        <f t="shared" si="24"/>
        <v>1381</v>
      </c>
      <c r="F58" s="204">
        <f t="shared" si="24"/>
        <v>1680</v>
      </c>
      <c r="G58" s="226">
        <f t="shared" si="24"/>
        <v>1713</v>
      </c>
      <c r="H58" s="206">
        <f t="shared" si="24"/>
        <v>1380</v>
      </c>
      <c r="I58" s="207">
        <f t="shared" si="24"/>
        <v>1201912</v>
      </c>
      <c r="J58" s="208">
        <f t="shared" si="21"/>
        <v>1477.7280000000001</v>
      </c>
      <c r="K58" s="209">
        <f t="shared" si="24"/>
        <v>1395000</v>
      </c>
      <c r="L58" s="279">
        <f>SUM(L49:L55)</f>
        <v>1168681</v>
      </c>
      <c r="M58" s="211">
        <f>SUM(M49:M57)</f>
        <v>1395000</v>
      </c>
      <c r="O58" s="214"/>
      <c r="P58" s="211">
        <f>SUM(P49:P57)</f>
        <v>1085049</v>
      </c>
      <c r="Q58" s="214">
        <f>P58-M58</f>
        <v>-309951</v>
      </c>
      <c r="R58" s="90"/>
      <c r="S58" s="236">
        <f>SUM(S49:S57)</f>
        <v>1160000</v>
      </c>
      <c r="T58" s="304">
        <f>SUM(T49:T57)</f>
        <v>1160000</v>
      </c>
    </row>
    <row r="59" spans="1:21" ht="12" customHeight="1">
      <c r="A59" s="199"/>
      <c r="B59" s="212"/>
      <c r="C59" s="201"/>
      <c r="D59" s="202"/>
      <c r="E59" s="203"/>
      <c r="F59" s="204"/>
      <c r="G59" s="205"/>
      <c r="H59" s="206"/>
      <c r="I59" s="207"/>
      <c r="J59" s="208"/>
      <c r="K59" s="209"/>
      <c r="L59" s="279"/>
      <c r="M59" s="211"/>
      <c r="N59" s="214"/>
      <c r="O59" s="214"/>
      <c r="P59" s="211"/>
      <c r="Q59" s="214"/>
      <c r="R59" s="90"/>
      <c r="S59" s="236"/>
      <c r="T59" s="304"/>
    </row>
    <row r="60" spans="1:21" ht="12" customHeight="1">
      <c r="A60" s="90" t="s">
        <v>73</v>
      </c>
      <c r="B60" s="212"/>
      <c r="C60" s="181">
        <v>1342</v>
      </c>
      <c r="D60" s="182">
        <v>1410</v>
      </c>
      <c r="E60" s="183">
        <v>1304</v>
      </c>
      <c r="F60" s="192">
        <v>1335</v>
      </c>
      <c r="G60" s="193">
        <v>1585</v>
      </c>
      <c r="H60" s="206"/>
      <c r="I60" s="195">
        <v>1321413</v>
      </c>
      <c r="J60" s="188">
        <f>((I60/1000)+G60+E60+C60)/4</f>
        <v>1388.1032500000001</v>
      </c>
      <c r="K60" s="196">
        <v>1600000</v>
      </c>
      <c r="L60" s="278">
        <v>1452978</v>
      </c>
      <c r="M60" s="232">
        <v>1400000</v>
      </c>
      <c r="N60" s="223">
        <v>-42000</v>
      </c>
      <c r="O60" s="223">
        <v>80000</v>
      </c>
      <c r="P60" s="198">
        <f t="shared" ref="P60:P63" si="25">M60+N60+O60</f>
        <v>1438000</v>
      </c>
      <c r="Q60" s="223">
        <f>P60-M60</f>
        <v>38000</v>
      </c>
      <c r="R60" s="90" t="s">
        <v>74</v>
      </c>
      <c r="S60" s="234">
        <v>1400000</v>
      </c>
      <c r="T60" s="303">
        <f>S60</f>
        <v>1400000</v>
      </c>
    </row>
    <row r="61" spans="1:21" ht="12" customHeight="1">
      <c r="A61" s="90" t="s">
        <v>75</v>
      </c>
      <c r="B61" s="180">
        <v>700</v>
      </c>
      <c r="C61" s="181">
        <v>298</v>
      </c>
      <c r="D61" s="182">
        <v>640</v>
      </c>
      <c r="E61" s="183">
        <v>285</v>
      </c>
      <c r="F61" s="192">
        <v>700</v>
      </c>
      <c r="G61" s="193">
        <v>933</v>
      </c>
      <c r="H61" s="194">
        <v>455</v>
      </c>
      <c r="I61" s="195">
        <f>521782-I62</f>
        <v>622890</v>
      </c>
      <c r="J61" s="188">
        <f>((I61/1000)+G61+E61+C61)/4</f>
        <v>534.72249999999997</v>
      </c>
      <c r="K61" s="196">
        <v>950000</v>
      </c>
      <c r="L61" s="278">
        <v>757675</v>
      </c>
      <c r="M61" s="198">
        <v>500000</v>
      </c>
      <c r="N61" s="223">
        <v>-58000</v>
      </c>
      <c r="O61" s="223">
        <v>1500000</v>
      </c>
      <c r="P61" s="198">
        <f>M61+N61+O61</f>
        <v>1942000</v>
      </c>
      <c r="Q61" s="223">
        <f>P61-M61</f>
        <v>1442000</v>
      </c>
      <c r="R61" s="90" t="s">
        <v>74</v>
      </c>
      <c r="S61" s="234">
        <v>-190000</v>
      </c>
      <c r="T61" s="303">
        <v>200000</v>
      </c>
      <c r="U61" s="345" t="s">
        <v>76</v>
      </c>
    </row>
    <row r="62" spans="1:21" ht="12" customHeight="1">
      <c r="A62" s="90" t="s">
        <v>77</v>
      </c>
      <c r="B62" s="180"/>
      <c r="C62" s="181"/>
      <c r="D62" s="182"/>
      <c r="E62" s="183"/>
      <c r="F62" s="234"/>
      <c r="G62" s="193"/>
      <c r="H62" s="194"/>
      <c r="I62" s="195">
        <v>-101108</v>
      </c>
      <c r="J62" s="188"/>
      <c r="K62" s="196">
        <v>-100000</v>
      </c>
      <c r="L62" s="278">
        <v>-98776</v>
      </c>
      <c r="M62" s="198">
        <v>-100000</v>
      </c>
      <c r="N62" s="223"/>
      <c r="O62" s="223"/>
      <c r="P62" s="198">
        <f t="shared" si="25"/>
        <v>-100000</v>
      </c>
      <c r="Q62" s="223"/>
      <c r="R62" s="90"/>
      <c r="S62" s="234">
        <v>-100000</v>
      </c>
      <c r="T62" s="303">
        <v>-100000</v>
      </c>
    </row>
    <row r="63" spans="1:21" ht="12" customHeight="1">
      <c r="A63" t="s">
        <v>78</v>
      </c>
      <c r="B63" s="180"/>
      <c r="C63" s="181"/>
      <c r="D63" s="182"/>
      <c r="E63" s="233">
        <v>10</v>
      </c>
      <c r="F63" s="234"/>
      <c r="G63" s="193">
        <v>10</v>
      </c>
      <c r="H63" s="194"/>
      <c r="I63" s="195">
        <v>9816</v>
      </c>
      <c r="J63" s="188">
        <f>((I63/1000)+G63+E63+C63)/4</f>
        <v>7.4540000000000006</v>
      </c>
      <c r="K63" s="196">
        <v>0</v>
      </c>
      <c r="L63" s="278">
        <v>10051</v>
      </c>
      <c r="M63" s="198"/>
      <c r="N63" s="225"/>
      <c r="O63" s="225"/>
      <c r="P63" s="198">
        <f t="shared" si="25"/>
        <v>0</v>
      </c>
      <c r="Q63" s="225"/>
      <c r="R63" s="90"/>
      <c r="S63" s="234">
        <v>0</v>
      </c>
      <c r="T63" s="303">
        <v>0</v>
      </c>
    </row>
    <row r="64" spans="1:21" ht="12" customHeight="1">
      <c r="A64" s="315" t="s">
        <v>79</v>
      </c>
      <c r="B64" s="316"/>
      <c r="C64" s="317"/>
      <c r="D64" s="186"/>
      <c r="E64" s="318"/>
      <c r="F64" s="194"/>
      <c r="G64" s="194"/>
      <c r="H64" s="194"/>
      <c r="I64" s="194"/>
      <c r="J64" s="319"/>
      <c r="K64" s="194"/>
      <c r="L64" s="194"/>
      <c r="M64" s="194"/>
      <c r="N64" s="320">
        <f>O124+V128</f>
        <v>250000</v>
      </c>
      <c r="O64" s="320"/>
      <c r="P64" s="194">
        <f>M64+N64+O64</f>
        <v>250000</v>
      </c>
      <c r="Q64" s="223">
        <f>P64-M64</f>
        <v>250000</v>
      </c>
      <c r="R64" s="96"/>
      <c r="S64" s="194">
        <f>P64+V128+V130+V127</f>
        <v>461428.57142857142</v>
      </c>
      <c r="T64" s="194">
        <f>S64+V129</f>
        <v>481428.57142857142</v>
      </c>
    </row>
    <row r="65" spans="1:20" ht="12" customHeight="1">
      <c r="A65" s="199" t="s">
        <v>80</v>
      </c>
      <c r="B65" s="212">
        <f>SUM(B61:B63)</f>
        <v>700</v>
      </c>
      <c r="C65" s="213">
        <f>SUM(C60:C63)</f>
        <v>1640</v>
      </c>
      <c r="D65" s="202">
        <f>SUM(D60:D63)</f>
        <v>2050</v>
      </c>
      <c r="E65" s="235">
        <f>SUM(E60:E63)</f>
        <v>1599</v>
      </c>
      <c r="F65" s="236">
        <f>SUM(F60:F63)</f>
        <v>2035</v>
      </c>
      <c r="G65" s="205">
        <f>SUM(G60:G63)</f>
        <v>2528</v>
      </c>
      <c r="H65" s="206">
        <f>SUM(H61:H63)</f>
        <v>455</v>
      </c>
      <c r="I65" s="207">
        <f>SUM(I60:I63)</f>
        <v>1853011</v>
      </c>
      <c r="J65" s="208">
        <f>((I65/1000)+G65+E65+C65)/4</f>
        <v>1905.0027500000001</v>
      </c>
      <c r="K65" s="209">
        <f>SUM(K60:K63)</f>
        <v>2450000</v>
      </c>
      <c r="L65" s="279">
        <f>SUM(L60:L63)</f>
        <v>2121928</v>
      </c>
      <c r="M65" s="211">
        <f>SUM(M60:M63)</f>
        <v>1800000</v>
      </c>
      <c r="N65" s="214"/>
      <c r="O65" s="214"/>
      <c r="P65" s="211">
        <f>SUM(P60:P64)</f>
        <v>3530000</v>
      </c>
      <c r="Q65" s="214">
        <f>P65-M65</f>
        <v>1730000</v>
      </c>
      <c r="R65" s="90"/>
      <c r="S65" s="236">
        <f>SUM(S60:S64)</f>
        <v>1571428.5714285714</v>
      </c>
      <c r="T65" s="304">
        <f>SUM(T60:T64)</f>
        <v>1981428.5714285714</v>
      </c>
    </row>
    <row r="66" spans="1:20" ht="12" customHeight="1">
      <c r="A66" s="199"/>
      <c r="B66" s="212"/>
      <c r="C66" s="213"/>
      <c r="D66" s="202"/>
      <c r="E66" s="235"/>
      <c r="F66" s="236"/>
      <c r="G66" s="205"/>
      <c r="H66" s="206"/>
      <c r="I66" s="207"/>
      <c r="J66" s="208"/>
      <c r="K66" s="209"/>
      <c r="L66" s="279"/>
      <c r="M66" s="211"/>
      <c r="N66" s="223"/>
      <c r="O66" s="223"/>
      <c r="P66" s="211"/>
      <c r="Q66" s="223"/>
      <c r="R66" s="90"/>
      <c r="S66" s="236"/>
      <c r="T66" s="304"/>
    </row>
    <row r="67" spans="1:20" ht="12" customHeight="1">
      <c r="A67" s="90" t="s">
        <v>81</v>
      </c>
      <c r="B67" s="180">
        <v>150</v>
      </c>
      <c r="C67" s="181">
        <v>32</v>
      </c>
      <c r="D67" s="182">
        <v>150</v>
      </c>
      <c r="E67" s="183">
        <v>77</v>
      </c>
      <c r="F67" s="192">
        <v>150</v>
      </c>
      <c r="G67" s="193">
        <v>159</v>
      </c>
      <c r="H67" s="194">
        <v>150</v>
      </c>
      <c r="I67" s="195">
        <v>226287</v>
      </c>
      <c r="J67" s="188">
        <f>((I67/1000)+G67+E67+C67)/4</f>
        <v>123.57175000000001</v>
      </c>
      <c r="K67" s="196">
        <v>75000</v>
      </c>
      <c r="L67" s="278">
        <v>161618</v>
      </c>
      <c r="M67" s="198">
        <v>75000</v>
      </c>
      <c r="N67" s="223"/>
      <c r="O67" s="223">
        <v>200000</v>
      </c>
      <c r="P67" s="198">
        <f t="shared" ref="P67:P69" si="26">M67+N67+O67</f>
        <v>275000</v>
      </c>
      <c r="Q67" s="223">
        <f>P67-M67</f>
        <v>200000</v>
      </c>
      <c r="R67" s="90" t="s">
        <v>82</v>
      </c>
      <c r="S67" s="234">
        <v>150000</v>
      </c>
      <c r="T67" s="303">
        <f>S67</f>
        <v>150000</v>
      </c>
    </row>
    <row r="68" spans="1:20" ht="12" customHeight="1">
      <c r="A68" s="90" t="s">
        <v>83</v>
      </c>
      <c r="B68" s="180">
        <v>325</v>
      </c>
      <c r="C68" s="181">
        <v>171</v>
      </c>
      <c r="D68" s="182">
        <v>325</v>
      </c>
      <c r="E68" s="183">
        <v>264</v>
      </c>
      <c r="F68" s="192">
        <v>325</v>
      </c>
      <c r="G68" s="193">
        <v>227</v>
      </c>
      <c r="H68" s="194">
        <v>325</v>
      </c>
      <c r="I68" s="195">
        <v>293474</v>
      </c>
      <c r="J68" s="188">
        <f>((I68/1000)+G68+E68+C68)/4</f>
        <v>238.86849999999998</v>
      </c>
      <c r="K68" s="196">
        <v>275000</v>
      </c>
      <c r="L68" s="278">
        <v>246088</v>
      </c>
      <c r="M68" s="198">
        <v>300000</v>
      </c>
      <c r="N68" s="223">
        <v>-25000</v>
      </c>
      <c r="O68" s="223">
        <v>-50000</v>
      </c>
      <c r="P68" s="198">
        <f t="shared" si="26"/>
        <v>225000</v>
      </c>
      <c r="Q68" s="223">
        <f>P68-M68</f>
        <v>-75000</v>
      </c>
      <c r="R68" s="90" t="s">
        <v>84</v>
      </c>
      <c r="S68" s="234">
        <v>275000</v>
      </c>
      <c r="T68" s="303">
        <v>275000</v>
      </c>
    </row>
    <row r="69" spans="1:20" ht="12" customHeight="1">
      <c r="A69" s="90" t="s">
        <v>85</v>
      </c>
      <c r="B69" s="180">
        <v>50</v>
      </c>
      <c r="C69" s="181">
        <v>9</v>
      </c>
      <c r="D69" s="182">
        <v>150</v>
      </c>
      <c r="E69" s="183">
        <v>42</v>
      </c>
      <c r="F69" s="192">
        <v>50</v>
      </c>
      <c r="G69" s="193">
        <v>45</v>
      </c>
      <c r="H69" s="194">
        <v>150</v>
      </c>
      <c r="I69" s="195">
        <v>83298</v>
      </c>
      <c r="J69" s="188">
        <f>((I69/1000)+G69+E69+C69)/4</f>
        <v>44.8245</v>
      </c>
      <c r="K69" s="196">
        <v>50000</v>
      </c>
      <c r="L69" s="278">
        <v>-20901</v>
      </c>
      <c r="M69" s="198">
        <v>150000</v>
      </c>
      <c r="N69" s="223">
        <v>-75000</v>
      </c>
      <c r="O69" s="223"/>
      <c r="P69" s="198">
        <f t="shared" si="26"/>
        <v>75000</v>
      </c>
      <c r="Q69" s="223">
        <f>P69-M69</f>
        <v>-75000</v>
      </c>
      <c r="R69" s="90" t="s">
        <v>86</v>
      </c>
      <c r="S69" s="234">
        <v>50000</v>
      </c>
      <c r="T69" s="303">
        <v>100000</v>
      </c>
    </row>
    <row r="70" spans="1:20" ht="12" customHeight="1">
      <c r="A70" s="199" t="s">
        <v>87</v>
      </c>
      <c r="B70" s="212">
        <f t="shared" ref="B70:E70" si="27">SUM(B67:B69)</f>
        <v>525</v>
      </c>
      <c r="C70" s="201">
        <f t="shared" si="27"/>
        <v>212</v>
      </c>
      <c r="D70" s="202">
        <f t="shared" si="27"/>
        <v>625</v>
      </c>
      <c r="E70" s="203">
        <f t="shared" si="27"/>
        <v>383</v>
      </c>
      <c r="F70" s="204">
        <f t="shared" ref="F70:K70" si="28">SUM(F67:F69)</f>
        <v>525</v>
      </c>
      <c r="G70" s="205">
        <f t="shared" si="28"/>
        <v>431</v>
      </c>
      <c r="H70" s="206">
        <f t="shared" si="28"/>
        <v>625</v>
      </c>
      <c r="I70" s="207">
        <f t="shared" si="28"/>
        <v>603059</v>
      </c>
      <c r="J70" s="208">
        <f>((I70/1000)+G70+E70+C70)/4</f>
        <v>407.26474999999999</v>
      </c>
      <c r="K70" s="209">
        <f t="shared" si="28"/>
        <v>400000</v>
      </c>
      <c r="L70" s="279">
        <f>SUM(L67:L69)</f>
        <v>386805</v>
      </c>
      <c r="M70" s="211">
        <f>SUM(M67:M69)</f>
        <v>525000</v>
      </c>
      <c r="N70" s="214"/>
      <c r="O70" s="214"/>
      <c r="P70" s="211">
        <f>SUM(P67:P69)</f>
        <v>575000</v>
      </c>
      <c r="Q70" s="214">
        <f>P70-M70</f>
        <v>50000</v>
      </c>
      <c r="R70" s="90"/>
      <c r="S70" s="236">
        <f>SUM(S67:S69)</f>
        <v>475000</v>
      </c>
      <c r="T70" s="304">
        <f t="shared" ref="T70" si="29">SUM(T67:T69)</f>
        <v>525000</v>
      </c>
    </row>
    <row r="71" spans="1:20" ht="12" customHeight="1">
      <c r="A71" s="199"/>
      <c r="B71" s="212"/>
      <c r="C71" s="213"/>
      <c r="D71" s="202"/>
      <c r="E71" s="203"/>
      <c r="F71" s="204"/>
      <c r="G71" s="205"/>
      <c r="H71" s="206"/>
      <c r="I71" s="207"/>
      <c r="J71" s="208"/>
      <c r="K71" s="209"/>
      <c r="L71" s="279"/>
      <c r="M71" s="211"/>
      <c r="N71" s="223"/>
      <c r="O71" s="223"/>
      <c r="P71" s="211"/>
      <c r="Q71" s="223"/>
      <c r="R71" s="90"/>
      <c r="S71" s="236"/>
      <c r="T71" s="304"/>
    </row>
    <row r="72" spans="1:20" ht="12" customHeight="1">
      <c r="A72" s="90" t="s">
        <v>88</v>
      </c>
      <c r="B72" s="180">
        <v>200</v>
      </c>
      <c r="C72" s="181">
        <v>307</v>
      </c>
      <c r="D72" s="182">
        <v>200</v>
      </c>
      <c r="E72" s="183">
        <v>372</v>
      </c>
      <c r="F72" s="192">
        <v>350</v>
      </c>
      <c r="G72" s="193">
        <v>328</v>
      </c>
      <c r="H72" s="194">
        <v>350</v>
      </c>
      <c r="I72" s="195">
        <v>313610</v>
      </c>
      <c r="J72" s="188">
        <f t="shared" ref="J72:J79" si="30">((I72/1000)+G72+E72+C72)/4</f>
        <v>330.15250000000003</v>
      </c>
      <c r="K72" s="196">
        <v>400000</v>
      </c>
      <c r="L72" s="278">
        <v>365931</v>
      </c>
      <c r="M72" s="198">
        <v>400000</v>
      </c>
      <c r="N72" s="223"/>
      <c r="O72" s="223"/>
      <c r="P72" s="198">
        <f t="shared" ref="P72:P78" si="31">M72+N72+O72</f>
        <v>400000</v>
      </c>
      <c r="Q72" s="223">
        <f t="shared" ref="Q72:Q79" si="32">P72-M72</f>
        <v>0</v>
      </c>
      <c r="R72" s="90"/>
      <c r="S72" s="234">
        <v>400000</v>
      </c>
      <c r="T72" s="303">
        <v>400000</v>
      </c>
    </row>
    <row r="73" spans="1:20" ht="12" customHeight="1">
      <c r="A73" s="90" t="s">
        <v>89</v>
      </c>
      <c r="B73" s="180">
        <v>205</v>
      </c>
      <c r="C73" s="181">
        <v>190</v>
      </c>
      <c r="D73" s="182">
        <v>205</v>
      </c>
      <c r="E73" s="183">
        <v>193</v>
      </c>
      <c r="F73" s="192">
        <v>210</v>
      </c>
      <c r="G73" s="193">
        <v>207</v>
      </c>
      <c r="H73" s="194">
        <v>210</v>
      </c>
      <c r="I73" s="195">
        <v>196062</v>
      </c>
      <c r="J73" s="188">
        <f t="shared" si="30"/>
        <v>196.5155</v>
      </c>
      <c r="K73" s="196">
        <v>220000</v>
      </c>
      <c r="L73" s="278">
        <v>207157</v>
      </c>
      <c r="M73" s="198">
        <v>220000</v>
      </c>
      <c r="N73" s="223">
        <v>-20000</v>
      </c>
      <c r="O73" s="223"/>
      <c r="P73" s="198">
        <f>M73+N73+O73</f>
        <v>200000</v>
      </c>
      <c r="Q73" s="223">
        <f t="shared" si="32"/>
        <v>-20000</v>
      </c>
      <c r="R73" s="90" t="s">
        <v>90</v>
      </c>
      <c r="S73" s="234">
        <v>220000</v>
      </c>
      <c r="T73" s="303">
        <v>220000</v>
      </c>
    </row>
    <row r="74" spans="1:20" ht="12" customHeight="1">
      <c r="A74" s="90" t="s">
        <v>91</v>
      </c>
      <c r="B74" s="180">
        <v>60</v>
      </c>
      <c r="C74" s="181">
        <v>60</v>
      </c>
      <c r="D74" s="182">
        <v>60</v>
      </c>
      <c r="E74" s="183">
        <v>50</v>
      </c>
      <c r="F74" s="192">
        <v>60</v>
      </c>
      <c r="G74" s="193">
        <v>75</v>
      </c>
      <c r="H74" s="194">
        <v>60</v>
      </c>
      <c r="I74" s="195">
        <v>62500</v>
      </c>
      <c r="J74" s="188">
        <f t="shared" si="30"/>
        <v>61.875</v>
      </c>
      <c r="K74" s="196">
        <v>65000</v>
      </c>
      <c r="L74" s="278">
        <v>37500</v>
      </c>
      <c r="M74" s="198">
        <v>65000</v>
      </c>
      <c r="N74" s="223"/>
      <c r="O74" s="223"/>
      <c r="P74" s="198">
        <f t="shared" si="31"/>
        <v>65000</v>
      </c>
      <c r="Q74" s="223">
        <f t="shared" si="32"/>
        <v>0</v>
      </c>
      <c r="R74" s="90"/>
      <c r="S74" s="234">
        <v>65000</v>
      </c>
      <c r="T74" s="303">
        <v>65000</v>
      </c>
    </row>
    <row r="75" spans="1:20" ht="12" customHeight="1">
      <c r="A75" s="90" t="s">
        <v>92</v>
      </c>
      <c r="B75" s="180">
        <v>0</v>
      </c>
      <c r="C75" s="181">
        <v>9</v>
      </c>
      <c r="D75" s="182">
        <v>0</v>
      </c>
      <c r="E75" s="183">
        <v>61</v>
      </c>
      <c r="F75" s="192">
        <v>0</v>
      </c>
      <c r="G75" s="193">
        <v>38</v>
      </c>
      <c r="H75" s="194">
        <v>0</v>
      </c>
      <c r="I75" s="195">
        <v>33102</v>
      </c>
      <c r="J75" s="188">
        <f t="shared" si="30"/>
        <v>35.275500000000001</v>
      </c>
      <c r="K75" s="196">
        <v>0</v>
      </c>
      <c r="L75" s="278">
        <v>15105</v>
      </c>
      <c r="M75" s="198">
        <v>0</v>
      </c>
      <c r="N75" s="223"/>
      <c r="O75" s="223"/>
      <c r="P75" s="198">
        <f t="shared" si="31"/>
        <v>0</v>
      </c>
      <c r="Q75" s="223">
        <f t="shared" si="32"/>
        <v>0</v>
      </c>
      <c r="R75" s="90"/>
      <c r="S75" s="234">
        <v>0</v>
      </c>
      <c r="T75" s="303">
        <v>0</v>
      </c>
    </row>
    <row r="76" spans="1:20" ht="12" customHeight="1">
      <c r="A76" t="s">
        <v>93</v>
      </c>
      <c r="B76" s="180"/>
      <c r="C76" s="181"/>
      <c r="D76" s="182"/>
      <c r="E76" s="183">
        <v>822</v>
      </c>
      <c r="F76" s="192">
        <v>1000</v>
      </c>
      <c r="G76" s="193">
        <v>1106</v>
      </c>
      <c r="H76" s="194">
        <v>1000</v>
      </c>
      <c r="I76" s="195">
        <v>1029701</v>
      </c>
      <c r="J76" s="188">
        <f t="shared" si="30"/>
        <v>739.42525000000001</v>
      </c>
      <c r="K76" s="196">
        <v>1100000</v>
      </c>
      <c r="L76" s="278">
        <v>1128788</v>
      </c>
      <c r="M76" s="198">
        <v>1100000</v>
      </c>
      <c r="N76" s="225"/>
      <c r="O76" s="225"/>
      <c r="P76" s="198">
        <f t="shared" si="31"/>
        <v>1100000</v>
      </c>
      <c r="Q76" s="225">
        <f t="shared" si="32"/>
        <v>0</v>
      </c>
      <c r="R76" s="90"/>
      <c r="S76" s="234">
        <v>1100000</v>
      </c>
      <c r="T76" s="303">
        <v>1100000</v>
      </c>
    </row>
    <row r="77" spans="1:20" ht="12" customHeight="1">
      <c r="A77" s="315" t="s">
        <v>94</v>
      </c>
      <c r="B77" s="316"/>
      <c r="C77" s="317"/>
      <c r="D77" s="186"/>
      <c r="E77" s="186"/>
      <c r="F77" s="321"/>
      <c r="G77" s="194"/>
      <c r="H77" s="194"/>
      <c r="I77" s="194"/>
      <c r="J77" s="319"/>
      <c r="K77" s="194"/>
      <c r="L77" s="194"/>
      <c r="M77" s="194"/>
      <c r="N77" s="320">
        <f>N131/5</f>
        <v>60000</v>
      </c>
      <c r="O77" s="320"/>
      <c r="P77" s="194">
        <f t="shared" si="31"/>
        <v>60000</v>
      </c>
      <c r="Q77" s="223">
        <f>P77-M77</f>
        <v>60000</v>
      </c>
      <c r="R77" s="96"/>
      <c r="S77" s="194">
        <f>P77+V132</f>
        <v>560000</v>
      </c>
      <c r="T77" s="194">
        <f>S77</f>
        <v>560000</v>
      </c>
    </row>
    <row r="78" spans="1:20">
      <c r="A78" s="90" t="s">
        <v>95</v>
      </c>
      <c r="B78" s="180">
        <v>1420</v>
      </c>
      <c r="C78" s="181">
        <v>1394</v>
      </c>
      <c r="D78" s="182">
        <v>1370</v>
      </c>
      <c r="E78" s="183">
        <v>162</v>
      </c>
      <c r="F78" s="192">
        <v>470</v>
      </c>
      <c r="G78" s="193">
        <v>291</v>
      </c>
      <c r="H78" s="194">
        <v>470</v>
      </c>
      <c r="I78" s="195">
        <v>373225</v>
      </c>
      <c r="J78" s="188">
        <f>((I78/1000)+G78+E78+C78)/4</f>
        <v>555.05624999999998</v>
      </c>
      <c r="K78" s="196">
        <v>300000</v>
      </c>
      <c r="L78" s="278">
        <v>342900</v>
      </c>
      <c r="M78" s="232">
        <v>300000</v>
      </c>
      <c r="N78" s="223"/>
      <c r="O78" s="223"/>
      <c r="P78" s="198">
        <f t="shared" si="31"/>
        <v>300000</v>
      </c>
      <c r="Q78" s="223">
        <f t="shared" si="32"/>
        <v>0</v>
      </c>
      <c r="R78" s="90"/>
      <c r="S78" s="234">
        <v>300000</v>
      </c>
      <c r="T78" s="303">
        <v>300000</v>
      </c>
    </row>
    <row r="79" spans="1:20">
      <c r="A79" s="199" t="s">
        <v>96</v>
      </c>
      <c r="B79" s="212">
        <f t="shared" ref="B79:H79" si="33">SUM(B72:B76)</f>
        <v>465</v>
      </c>
      <c r="C79" s="201">
        <f t="shared" si="33"/>
        <v>566</v>
      </c>
      <c r="D79" s="202">
        <f t="shared" si="33"/>
        <v>465</v>
      </c>
      <c r="E79" s="203">
        <f t="shared" si="33"/>
        <v>1498</v>
      </c>
      <c r="F79" s="204">
        <f t="shared" si="33"/>
        <v>1620</v>
      </c>
      <c r="G79" s="205">
        <f t="shared" si="33"/>
        <v>1754</v>
      </c>
      <c r="H79" s="206">
        <f t="shared" si="33"/>
        <v>1620</v>
      </c>
      <c r="I79" s="207">
        <f>SUM(I72:I78)</f>
        <v>2008200</v>
      </c>
      <c r="J79" s="208">
        <f t="shared" si="30"/>
        <v>1456.55</v>
      </c>
      <c r="K79" s="209">
        <f>SUM(K72:K78)</f>
        <v>2085000</v>
      </c>
      <c r="L79" s="279">
        <f>SUM(L72:L78)</f>
        <v>2097381</v>
      </c>
      <c r="M79" s="237">
        <f>SUM(M72:M78)</f>
        <v>2085000</v>
      </c>
      <c r="N79" s="214"/>
      <c r="O79" s="214"/>
      <c r="P79" s="237">
        <f>SUM(P72:P78)</f>
        <v>2125000</v>
      </c>
      <c r="Q79" s="214">
        <f t="shared" si="32"/>
        <v>40000</v>
      </c>
      <c r="R79" s="90"/>
      <c r="S79" s="236">
        <f>SUM(S72:S78)</f>
        <v>2645000</v>
      </c>
      <c r="T79" s="304">
        <f>SUM(T72:T78)</f>
        <v>2645000</v>
      </c>
    </row>
    <row r="80" spans="1:20" ht="12" customHeight="1">
      <c r="A80" s="199"/>
      <c r="B80" s="212"/>
      <c r="C80" s="201"/>
      <c r="D80" s="202"/>
      <c r="E80" s="203"/>
      <c r="F80" s="204"/>
      <c r="G80" s="205"/>
      <c r="H80" s="206"/>
      <c r="I80" s="207"/>
      <c r="J80" s="208"/>
      <c r="K80" s="209"/>
      <c r="L80" s="279"/>
      <c r="M80" s="211"/>
      <c r="N80" s="225"/>
      <c r="O80" s="225"/>
      <c r="P80" s="211"/>
      <c r="Q80" s="225"/>
      <c r="R80" s="90"/>
      <c r="S80" s="236"/>
      <c r="T80" s="304"/>
    </row>
    <row r="81" spans="1:20" ht="12" customHeight="1">
      <c r="A81" s="199" t="s">
        <v>97</v>
      </c>
      <c r="B81" s="212">
        <v>24</v>
      </c>
      <c r="C81" s="201">
        <v>24</v>
      </c>
      <c r="D81" s="202">
        <v>0</v>
      </c>
      <c r="E81" s="203">
        <v>36</v>
      </c>
      <c r="F81" s="204">
        <v>25</v>
      </c>
      <c r="G81" s="205">
        <v>28</v>
      </c>
      <c r="H81" s="206">
        <v>25</v>
      </c>
      <c r="I81" s="207">
        <v>25356</v>
      </c>
      <c r="J81" s="208">
        <f>((I81/1000)+G81+E81+C81)/4</f>
        <v>28.338999999999999</v>
      </c>
      <c r="K81" s="209">
        <v>25000</v>
      </c>
      <c r="L81" s="279">
        <v>23946</v>
      </c>
      <c r="M81" s="211">
        <v>25000</v>
      </c>
      <c r="N81" s="155"/>
      <c r="O81" s="155"/>
      <c r="P81" s="211">
        <v>25000</v>
      </c>
      <c r="Q81" s="155">
        <f>P81-M81</f>
        <v>0</v>
      </c>
      <c r="R81" s="90"/>
      <c r="S81" s="236">
        <v>25000</v>
      </c>
      <c r="T81" s="304">
        <v>25000</v>
      </c>
    </row>
    <row r="82" spans="1:20" ht="12" customHeight="1">
      <c r="A82" s="90"/>
      <c r="B82" s="180"/>
      <c r="C82" s="181"/>
      <c r="D82" s="182"/>
      <c r="E82" s="183"/>
      <c r="F82" s="192"/>
      <c r="G82" s="193"/>
      <c r="H82" s="194"/>
      <c r="I82" s="195"/>
      <c r="J82" s="188"/>
      <c r="K82" s="196"/>
      <c r="L82" s="278"/>
      <c r="M82" s="198"/>
      <c r="O82" s="225"/>
      <c r="P82" s="198"/>
      <c r="Q82" s="225"/>
      <c r="R82" s="90"/>
      <c r="S82" s="234"/>
      <c r="T82" s="303"/>
    </row>
    <row r="83" spans="1:20" ht="12" customHeight="1">
      <c r="A83" s="199" t="s">
        <v>98</v>
      </c>
      <c r="B83" s="238">
        <f t="shared" ref="B83:I83" si="34">+B38+B44+B58+B65+B70+B79+B47+B81</f>
        <v>13294</v>
      </c>
      <c r="C83" s="201">
        <f t="shared" si="34"/>
        <v>13882</v>
      </c>
      <c r="D83" s="202">
        <f t="shared" si="34"/>
        <v>15270</v>
      </c>
      <c r="E83" s="203">
        <f t="shared" si="34"/>
        <v>15361</v>
      </c>
      <c r="F83" s="204">
        <f t="shared" si="34"/>
        <v>16535</v>
      </c>
      <c r="G83" s="205">
        <f t="shared" si="34"/>
        <v>16935</v>
      </c>
      <c r="H83" s="229">
        <f t="shared" si="34"/>
        <v>14855</v>
      </c>
      <c r="I83" s="207">
        <f t="shared" si="34"/>
        <v>16342881</v>
      </c>
      <c r="J83" s="208">
        <f>((I83/1000)+G83+E83+C83)/4</f>
        <v>15630.22025</v>
      </c>
      <c r="K83" s="209">
        <f>+K38+K44+K58+K65+K70+K79+K47+K81</f>
        <v>17480000</v>
      </c>
      <c r="L83" s="279">
        <f>+L81+L79+L70+L65+L58+L47+L38+L44</f>
        <v>16704535</v>
      </c>
      <c r="M83" s="211">
        <f>+M38+M44+M58+M65+M70+M79+M47+M81</f>
        <v>16805000</v>
      </c>
      <c r="N83" s="225">
        <f>SUM(N35:N81)</f>
        <v>-219951</v>
      </c>
      <c r="O83" s="225">
        <f>SUM(O35:O81)</f>
        <v>1630000</v>
      </c>
      <c r="P83" s="211">
        <f>+P38+P44+P58+P65+P70+P79+P47+P81</f>
        <v>18215049</v>
      </c>
      <c r="Q83" s="214">
        <f>P83-M83</f>
        <v>1410049</v>
      </c>
      <c r="R83" s="90"/>
      <c r="S83" s="236">
        <f>+S38+S44+S58+S65+S70+S79+S47+S81</f>
        <v>18241428.571428571</v>
      </c>
      <c r="T83" s="304">
        <f>+T38+T44+T58+T65+T70+T79+T47+T81</f>
        <v>19066428.571428571</v>
      </c>
    </row>
    <row r="84" spans="1:20" ht="12" customHeight="1">
      <c r="A84" s="199"/>
      <c r="B84" s="212"/>
      <c r="C84" s="213"/>
      <c r="D84" s="202"/>
      <c r="E84" s="203"/>
      <c r="F84" s="204"/>
      <c r="G84" s="205"/>
      <c r="H84" s="206"/>
      <c r="I84" s="207"/>
      <c r="J84" s="208"/>
      <c r="K84" s="209"/>
      <c r="L84" s="279"/>
      <c r="M84" s="211"/>
      <c r="N84" s="210"/>
      <c r="O84" s="210"/>
      <c r="P84" s="211"/>
      <c r="Q84" s="210"/>
      <c r="R84" s="90"/>
      <c r="S84" s="236"/>
      <c r="T84" s="304"/>
    </row>
    <row r="85" spans="1:20" ht="12" customHeight="1">
      <c r="A85" s="199" t="s">
        <v>99</v>
      </c>
      <c r="B85" s="200">
        <f t="shared" ref="B85:I85" si="35">+B27-B83</f>
        <v>2751</v>
      </c>
      <c r="C85" s="201">
        <f t="shared" si="35"/>
        <v>2292</v>
      </c>
      <c r="D85" s="202">
        <f t="shared" si="35"/>
        <v>1490</v>
      </c>
      <c r="E85" s="203">
        <f t="shared" si="35"/>
        <v>2261</v>
      </c>
      <c r="F85" s="204">
        <f t="shared" si="35"/>
        <v>275</v>
      </c>
      <c r="G85" s="205">
        <f t="shared" si="35"/>
        <v>965</v>
      </c>
      <c r="H85" s="206">
        <f t="shared" si="35"/>
        <v>1385</v>
      </c>
      <c r="I85" s="207">
        <f t="shared" si="35"/>
        <v>518286</v>
      </c>
      <c r="J85" s="208">
        <f>((I85/1000)+G85+E85+C85)/4</f>
        <v>1509.0715</v>
      </c>
      <c r="K85" s="209">
        <f>+K27-K83</f>
        <v>-952000</v>
      </c>
      <c r="L85" s="279">
        <f>+L27-L83</f>
        <v>1267957</v>
      </c>
      <c r="M85" s="211">
        <f>+M27-M83</f>
        <v>195000</v>
      </c>
      <c r="N85" s="214">
        <f>+N27-N83</f>
        <v>-67371.725000000559</v>
      </c>
      <c r="O85" s="214">
        <f t="shared" ref="O85" si="36">+O27-O83</f>
        <v>-1635000</v>
      </c>
      <c r="P85" s="211">
        <f>+P27-P83</f>
        <v>-1507371.7250000015</v>
      </c>
      <c r="Q85" s="210">
        <f>P85-M85</f>
        <v>-1702371.7250000015</v>
      </c>
      <c r="R85" s="90"/>
      <c r="S85" s="236">
        <f>+S27-S83</f>
        <v>-1941428.5714285709</v>
      </c>
      <c r="T85" s="304">
        <f>+T27-T83</f>
        <v>-1016428.5714285709</v>
      </c>
    </row>
    <row r="86" spans="1:20" ht="12" customHeight="1">
      <c r="A86" s="90"/>
      <c r="B86" s="180" t="s">
        <v>100</v>
      </c>
      <c r="C86" s="181" t="s">
        <v>100</v>
      </c>
      <c r="D86" s="182" t="s">
        <v>100</v>
      </c>
      <c r="E86" s="183"/>
      <c r="F86" s="184"/>
      <c r="G86" s="185"/>
      <c r="H86" s="186"/>
      <c r="I86" s="187"/>
      <c r="J86" s="188"/>
      <c r="K86" s="189"/>
      <c r="L86" s="277"/>
      <c r="M86" s="190"/>
      <c r="N86" s="155"/>
      <c r="O86" s="155"/>
      <c r="P86" s="190"/>
      <c r="Q86" s="223"/>
      <c r="R86" s="90"/>
      <c r="S86" s="296"/>
      <c r="T86" s="302"/>
    </row>
    <row r="87" spans="1:20" ht="12" customHeight="1">
      <c r="A87" s="266" t="s">
        <v>101</v>
      </c>
      <c r="B87" s="180">
        <f t="shared" ref="B87:I87" si="37">B21*-1</f>
        <v>0</v>
      </c>
      <c r="C87" s="181">
        <f t="shared" si="37"/>
        <v>-408</v>
      </c>
      <c r="D87" s="182">
        <f t="shared" si="37"/>
        <v>0</v>
      </c>
      <c r="E87" s="183">
        <f t="shared" si="37"/>
        <v>-471</v>
      </c>
      <c r="F87" s="184">
        <f t="shared" si="37"/>
        <v>0</v>
      </c>
      <c r="G87" s="185">
        <f t="shared" si="37"/>
        <v>-73</v>
      </c>
      <c r="H87" s="186">
        <f t="shared" si="37"/>
        <v>0</v>
      </c>
      <c r="I87" s="187">
        <f t="shared" si="37"/>
        <v>-1588099</v>
      </c>
      <c r="J87" s="208">
        <f>((I87/1000)+G87+E87+C87)/4</f>
        <v>-635.02475000000004</v>
      </c>
      <c r="K87" s="189">
        <f>K21*-1</f>
        <v>0</v>
      </c>
      <c r="L87" s="277">
        <v>-1938595</v>
      </c>
      <c r="M87" s="190">
        <f>M21*-1</f>
        <v>0</v>
      </c>
      <c r="N87" s="155">
        <f>N21*-1</f>
        <v>-300000</v>
      </c>
      <c r="O87" s="155">
        <f>O21*-1</f>
        <v>0</v>
      </c>
      <c r="P87" s="198">
        <f>M87+N87+O87</f>
        <v>-300000</v>
      </c>
      <c r="Q87" s="155">
        <f>P87-M87</f>
        <v>-300000</v>
      </c>
      <c r="R87" s="90"/>
      <c r="S87" s="296">
        <f>S21*-1</f>
        <v>0</v>
      </c>
      <c r="T87" s="302">
        <f>T21*-1</f>
        <v>0</v>
      </c>
    </row>
    <row r="88" spans="1:20" ht="12" customHeight="1">
      <c r="A88" s="346" t="s">
        <v>102</v>
      </c>
      <c r="B88" s="180"/>
      <c r="C88" s="181"/>
      <c r="D88" s="182"/>
      <c r="E88" s="183"/>
      <c r="F88" s="184"/>
      <c r="G88" s="185"/>
      <c r="H88" s="186"/>
      <c r="I88" s="187"/>
      <c r="J88" s="208"/>
      <c r="K88" s="189"/>
      <c r="L88" s="277"/>
      <c r="M88" s="190"/>
      <c r="N88" s="155"/>
      <c r="O88" s="155"/>
      <c r="P88" s="190"/>
      <c r="Q88" s="155"/>
      <c r="R88" s="90"/>
      <c r="S88" s="296"/>
      <c r="T88" s="302"/>
    </row>
    <row r="89" spans="1:20" ht="12" customHeight="1">
      <c r="A89" s="266" t="s">
        <v>103</v>
      </c>
      <c r="B89" s="180"/>
      <c r="C89" s="181"/>
      <c r="D89" s="182"/>
      <c r="E89" s="183"/>
      <c r="F89" s="184"/>
      <c r="G89" s="185"/>
      <c r="H89" s="186"/>
      <c r="I89" s="187"/>
      <c r="J89" s="208"/>
      <c r="K89" s="189"/>
      <c r="L89" s="277"/>
      <c r="M89" s="190"/>
      <c r="N89" s="155"/>
      <c r="O89" s="155"/>
      <c r="P89" s="190"/>
      <c r="Q89" s="155"/>
      <c r="R89" s="90"/>
      <c r="S89" s="296">
        <f>S107</f>
        <v>1215000</v>
      </c>
      <c r="T89" s="302">
        <f>T107</f>
        <v>1605000</v>
      </c>
    </row>
    <row r="90" spans="1:20" ht="12" customHeight="1">
      <c r="A90" s="266" t="s">
        <v>104</v>
      </c>
      <c r="B90" s="180"/>
      <c r="C90" s="181"/>
      <c r="D90" s="182"/>
      <c r="E90" s="183"/>
      <c r="F90" s="184"/>
      <c r="G90" s="185"/>
      <c r="H90" s="186"/>
      <c r="I90" s="187"/>
      <c r="J90" s="208"/>
      <c r="K90" s="189"/>
      <c r="L90" s="277"/>
      <c r="M90" s="190"/>
      <c r="N90" s="155">
        <f>N115</f>
        <v>0</v>
      </c>
      <c r="O90" s="155">
        <f>O115</f>
        <v>0</v>
      </c>
      <c r="P90" s="190">
        <f>P115</f>
        <v>250000</v>
      </c>
      <c r="Q90" s="155"/>
      <c r="R90" s="90"/>
      <c r="S90" s="296">
        <f>S115</f>
        <v>461428.57142857142</v>
      </c>
      <c r="T90" s="302">
        <f>T115</f>
        <v>481428.57142857142</v>
      </c>
    </row>
    <row r="91" spans="1:20" ht="12" customHeight="1">
      <c r="A91" s="90"/>
      <c r="B91" s="180" t="s">
        <v>100</v>
      </c>
      <c r="C91" s="181" t="s">
        <v>100</v>
      </c>
      <c r="D91" s="182" t="s">
        <v>100</v>
      </c>
      <c r="E91" s="183"/>
      <c r="F91" s="184"/>
      <c r="G91" s="185"/>
      <c r="H91" s="186"/>
      <c r="I91" s="187"/>
      <c r="J91" s="188"/>
      <c r="K91" s="189"/>
      <c r="L91" s="277"/>
      <c r="M91" s="190"/>
      <c r="N91" s="155"/>
      <c r="O91" s="155"/>
      <c r="P91" s="190"/>
      <c r="Q91" s="225"/>
      <c r="R91" s="90"/>
      <c r="S91" s="296"/>
      <c r="T91" s="302"/>
    </row>
    <row r="92" spans="1:20" ht="12" customHeight="1">
      <c r="A92" s="199" t="s">
        <v>105</v>
      </c>
      <c r="B92" s="212">
        <f t="shared" ref="B92" si="38">SUM(B87)</f>
        <v>0</v>
      </c>
      <c r="C92" s="201">
        <f>SUM(C87)</f>
        <v>-408</v>
      </c>
      <c r="D92" s="202">
        <f t="shared" ref="D92:K92" si="39">SUM(D87)</f>
        <v>0</v>
      </c>
      <c r="E92" s="203">
        <f t="shared" si="39"/>
        <v>-471</v>
      </c>
      <c r="F92" s="239">
        <f t="shared" si="39"/>
        <v>0</v>
      </c>
      <c r="G92" s="240">
        <f t="shared" si="39"/>
        <v>-73</v>
      </c>
      <c r="H92" s="241">
        <f t="shared" si="39"/>
        <v>0</v>
      </c>
      <c r="I92" s="242">
        <f t="shared" si="39"/>
        <v>-1588099</v>
      </c>
      <c r="J92" s="208">
        <f>((I92/1000)+G92+E92+C92)/4</f>
        <v>-635.02475000000004</v>
      </c>
      <c r="K92" s="243">
        <f t="shared" si="39"/>
        <v>0</v>
      </c>
      <c r="L92" s="281">
        <f>SUM(L87:L88)</f>
        <v>-1938595</v>
      </c>
      <c r="M92" s="244">
        <f>SUM(M87)</f>
        <v>0</v>
      </c>
      <c r="N92" s="214">
        <f t="shared" ref="N92:O92" si="40">SUM(N87)</f>
        <v>-300000</v>
      </c>
      <c r="O92" s="214">
        <f t="shared" si="40"/>
        <v>0</v>
      </c>
      <c r="P92" s="244">
        <f>SUM(P87:P91)</f>
        <v>-50000</v>
      </c>
      <c r="Q92" s="214">
        <f>P92-M92</f>
        <v>-50000</v>
      </c>
      <c r="R92" s="90"/>
      <c r="S92" s="262">
        <f>SUM(S87:S91)</f>
        <v>1676428.5714285714</v>
      </c>
      <c r="T92" s="305">
        <f>SUM(T87:T91)</f>
        <v>2086428.5714285714</v>
      </c>
    </row>
    <row r="93" spans="1:20" ht="12" customHeight="1">
      <c r="A93" s="90"/>
      <c r="B93" s="156"/>
      <c r="C93" s="245"/>
      <c r="D93" s="246"/>
      <c r="E93" s="247"/>
      <c r="F93" s="248"/>
      <c r="G93" s="148"/>
      <c r="H93" s="96"/>
      <c r="I93" s="249"/>
      <c r="J93" s="245"/>
      <c r="K93" s="250"/>
      <c r="L93" s="282"/>
      <c r="M93" s="157"/>
      <c r="N93" s="90"/>
      <c r="O93" s="90"/>
      <c r="P93" s="157"/>
      <c r="Q93" s="90"/>
      <c r="R93" s="90"/>
      <c r="S93" s="297"/>
      <c r="T93" s="306"/>
    </row>
    <row r="94" spans="1:20" ht="12" customHeight="1">
      <c r="A94" s="90"/>
      <c r="B94" s="156"/>
      <c r="C94" s="245"/>
      <c r="D94" s="246"/>
      <c r="E94" s="247"/>
      <c r="F94" s="248"/>
      <c r="G94" s="148"/>
      <c r="H94" s="96"/>
      <c r="I94" s="249"/>
      <c r="J94" s="245"/>
      <c r="K94" s="250"/>
      <c r="L94" s="282"/>
      <c r="M94" s="157"/>
      <c r="N94" s="90"/>
      <c r="O94" s="90"/>
      <c r="P94" s="157"/>
      <c r="Q94" s="210"/>
      <c r="R94" s="90"/>
      <c r="S94" s="297"/>
      <c r="T94" s="306"/>
    </row>
    <row r="95" spans="1:20" ht="12.75" customHeight="1">
      <c r="A95" s="199" t="s">
        <v>106</v>
      </c>
      <c r="B95" s="200">
        <f>+B85+B92</f>
        <v>2751</v>
      </c>
      <c r="C95" s="251">
        <f>SUM(C92+C85)</f>
        <v>1884</v>
      </c>
      <c r="D95" s="252">
        <f>SUM(D92+D85)</f>
        <v>1490</v>
      </c>
      <c r="E95" s="253">
        <f>+E85+E87</f>
        <v>1790</v>
      </c>
      <c r="F95" s="254">
        <f>+F85</f>
        <v>275</v>
      </c>
      <c r="G95" s="255">
        <f>+G85+G87</f>
        <v>892</v>
      </c>
      <c r="H95" s="256">
        <f>+H85+H87</f>
        <v>1385</v>
      </c>
      <c r="I95" s="257">
        <f>+I85+I87</f>
        <v>-1069813</v>
      </c>
      <c r="J95" s="258"/>
      <c r="K95" s="259">
        <f>+K85+K87</f>
        <v>-952000</v>
      </c>
      <c r="L95" s="283">
        <f>+L85+L92</f>
        <v>-670638</v>
      </c>
      <c r="M95" s="261">
        <f>+M85+M87</f>
        <v>195000</v>
      </c>
      <c r="N95" s="197">
        <f>+N85+N87</f>
        <v>-367371.72500000056</v>
      </c>
      <c r="O95" s="197">
        <f>+O85+O87</f>
        <v>-1635000</v>
      </c>
      <c r="P95" s="261">
        <f>+P85+P92</f>
        <v>-1557371.7250000015</v>
      </c>
      <c r="Q95" s="260">
        <f>P95-M95</f>
        <v>-1752371.7250000015</v>
      </c>
      <c r="R95" s="90"/>
      <c r="S95" s="254">
        <f>+S85+S92</f>
        <v>-264999.99999999953</v>
      </c>
      <c r="T95" s="307">
        <f>+T85+T92</f>
        <v>1070000.0000000005</v>
      </c>
    </row>
    <row r="96" spans="1:20" ht="12.75" customHeight="1">
      <c r="A96" s="199"/>
      <c r="B96" s="200"/>
      <c r="C96" s="201"/>
      <c r="D96" s="202"/>
      <c r="E96" s="203"/>
      <c r="F96" s="262"/>
      <c r="G96" s="240"/>
      <c r="H96" s="241"/>
      <c r="I96" s="242"/>
      <c r="J96" s="208"/>
      <c r="K96" s="243"/>
      <c r="L96" s="281"/>
      <c r="M96" s="244"/>
      <c r="N96" s="223"/>
      <c r="O96" s="223"/>
      <c r="P96" s="244"/>
      <c r="Q96" s="210"/>
      <c r="R96" s="90"/>
      <c r="S96" s="262"/>
      <c r="T96" s="305"/>
    </row>
    <row r="97" spans="1:21" ht="12.75" customHeight="1">
      <c r="A97" s="199" t="s">
        <v>107</v>
      </c>
      <c r="B97" s="200"/>
      <c r="C97" s="201"/>
      <c r="D97" s="202"/>
      <c r="E97" s="203"/>
      <c r="F97" s="262"/>
      <c r="G97" s="240"/>
      <c r="H97" s="241"/>
      <c r="I97" s="242"/>
      <c r="J97" s="208"/>
      <c r="K97" s="243"/>
      <c r="L97" s="281"/>
      <c r="M97" s="244"/>
      <c r="N97" s="223"/>
      <c r="O97" s="223"/>
      <c r="P97" s="244"/>
      <c r="Q97" s="210"/>
      <c r="R97" s="90"/>
      <c r="S97" s="262"/>
      <c r="T97" s="305"/>
    </row>
    <row r="98" spans="1:21" ht="12.75" customHeight="1">
      <c r="A98" s="90" t="s">
        <v>108</v>
      </c>
      <c r="B98" s="314"/>
      <c r="C98" s="191"/>
      <c r="D98" s="182"/>
      <c r="E98" s="183"/>
      <c r="F98" s="296"/>
      <c r="G98" s="185"/>
      <c r="H98" s="186"/>
      <c r="I98" s="187">
        <f>I95-I99</f>
        <v>-303280</v>
      </c>
      <c r="J98" s="188"/>
      <c r="K98" s="189"/>
      <c r="L98" s="277">
        <f>L95-L99</f>
        <v>-801634</v>
      </c>
      <c r="M98" s="190"/>
      <c r="N98" s="223"/>
      <c r="O98" s="223"/>
      <c r="P98" s="190">
        <f>P95-P99</f>
        <v>-1307371.7250000015</v>
      </c>
      <c r="Q98" s="197"/>
      <c r="R98" s="90"/>
      <c r="S98" s="296">
        <f>S95-S99</f>
        <v>-414999.99999999953</v>
      </c>
      <c r="T98" s="302">
        <f>T95-T99</f>
        <v>370000.00000000047</v>
      </c>
    </row>
    <row r="99" spans="1:21" ht="12.75" customHeight="1">
      <c r="A99" s="90" t="s">
        <v>109</v>
      </c>
      <c r="B99" s="314"/>
      <c r="C99" s="191"/>
      <c r="D99" s="182"/>
      <c r="E99" s="183"/>
      <c r="F99" s="296"/>
      <c r="G99" s="185"/>
      <c r="H99" s="186"/>
      <c r="I99" s="187">
        <f>I18</f>
        <v>-766533</v>
      </c>
      <c r="J99" s="188"/>
      <c r="K99" s="189"/>
      <c r="L99" s="277">
        <f>L18</f>
        <v>130996</v>
      </c>
      <c r="M99" s="190"/>
      <c r="N99" s="223"/>
      <c r="O99" s="223"/>
      <c r="P99" s="190">
        <f>P18</f>
        <v>-250000</v>
      </c>
      <c r="Q99" s="197"/>
      <c r="R99" s="90"/>
      <c r="S99" s="296">
        <f>S18</f>
        <v>150000</v>
      </c>
      <c r="T99" s="302">
        <f>T18</f>
        <v>700000</v>
      </c>
    </row>
    <row r="100" spans="1:21" s="5" customFormat="1" ht="12.75" customHeight="1">
      <c r="A100" s="199" t="s">
        <v>110</v>
      </c>
      <c r="B100" s="200"/>
      <c r="C100" s="201"/>
      <c r="D100" s="202"/>
      <c r="E100" s="203"/>
      <c r="F100" s="262"/>
      <c r="G100" s="240"/>
      <c r="H100" s="241"/>
      <c r="I100" s="242">
        <f>SUM(I98:I99)</f>
        <v>-1069813</v>
      </c>
      <c r="J100" s="208"/>
      <c r="K100" s="243"/>
      <c r="L100" s="281">
        <f>SUM(L98:L99)</f>
        <v>-670638</v>
      </c>
      <c r="M100" s="244"/>
      <c r="N100" s="225"/>
      <c r="O100" s="225"/>
      <c r="P100" s="244">
        <f>SUM(P98:P99)</f>
        <v>-1557371.7250000015</v>
      </c>
      <c r="Q100" s="210"/>
      <c r="R100" s="199"/>
      <c r="S100" s="262">
        <f>SUM(S98:S99)</f>
        <v>-264999.99999999953</v>
      </c>
      <c r="T100" s="305">
        <f>SUM(T98:T99)</f>
        <v>1070000.0000000005</v>
      </c>
      <c r="U100" s="333"/>
    </row>
    <row r="101" spans="1:21" ht="12.75" customHeight="1">
      <c r="A101" s="199"/>
      <c r="B101" s="214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90"/>
      <c r="N101" s="90"/>
      <c r="O101" s="90"/>
      <c r="P101" s="90"/>
      <c r="Q101" s="90"/>
      <c r="R101" s="90"/>
      <c r="S101" s="214"/>
      <c r="T101" s="214"/>
    </row>
    <row r="102" spans="1:21" s="325" customFormat="1" ht="17" thickBot="1">
      <c r="A102" s="327" t="s">
        <v>111</v>
      </c>
      <c r="B102" s="326"/>
      <c r="C102" s="326"/>
      <c r="D102" s="328"/>
      <c r="E102" s="328"/>
      <c r="F102" s="328"/>
      <c r="G102" s="328"/>
      <c r="H102" s="328"/>
      <c r="I102" s="328"/>
      <c r="J102" s="328"/>
      <c r="K102" s="329"/>
      <c r="L102" s="329"/>
      <c r="M102" s="326"/>
      <c r="N102" s="326"/>
      <c r="O102" s="326"/>
      <c r="P102" s="326"/>
      <c r="Q102" s="326"/>
      <c r="R102" s="326"/>
      <c r="S102" s="329"/>
      <c r="T102" s="329"/>
      <c r="U102" s="334"/>
    </row>
    <row r="103" spans="1:21">
      <c r="A103" s="284" t="s">
        <v>103</v>
      </c>
      <c r="B103" s="90"/>
      <c r="C103" s="90"/>
      <c r="D103" s="155"/>
      <c r="E103" s="155"/>
      <c r="F103" s="155"/>
      <c r="G103" s="155"/>
      <c r="H103" s="155"/>
      <c r="I103" s="155"/>
      <c r="J103" s="155"/>
      <c r="K103" s="214"/>
      <c r="L103" s="287"/>
      <c r="M103" s="157"/>
      <c r="N103" s="90"/>
      <c r="O103" s="90"/>
      <c r="P103" s="157"/>
      <c r="Q103" s="90"/>
      <c r="R103" s="90"/>
      <c r="S103" s="298"/>
      <c r="T103" s="308"/>
    </row>
    <row r="104" spans="1:21">
      <c r="A104" s="216" t="s">
        <v>112</v>
      </c>
      <c r="B104" s="90"/>
      <c r="C104" s="90"/>
      <c r="D104" s="155"/>
      <c r="E104" s="155"/>
      <c r="F104" s="155"/>
      <c r="G104" s="155"/>
      <c r="H104" s="155"/>
      <c r="I104" s="155"/>
      <c r="J104" s="155"/>
      <c r="K104" s="214"/>
      <c r="L104" s="287">
        <v>3143578</v>
      </c>
      <c r="M104" s="312"/>
      <c r="N104" s="90"/>
      <c r="O104" s="90"/>
      <c r="P104" s="237">
        <f>L110</f>
        <v>4555184</v>
      </c>
      <c r="Q104" s="199"/>
      <c r="R104" s="199"/>
      <c r="S104" s="298">
        <f>P110</f>
        <v>4455184</v>
      </c>
      <c r="T104" s="308">
        <f>S110</f>
        <v>3240184</v>
      </c>
    </row>
    <row r="105" spans="1:21">
      <c r="A105" s="216" t="s">
        <v>113</v>
      </c>
      <c r="B105" s="90"/>
      <c r="C105" s="90"/>
      <c r="D105" s="155"/>
      <c r="E105" s="155"/>
      <c r="F105" s="155"/>
      <c r="G105" s="155"/>
      <c r="H105" s="155"/>
      <c r="I105" s="155"/>
      <c r="J105" s="155"/>
      <c r="K105" s="214"/>
      <c r="L105" s="288">
        <f>L87*-1</f>
        <v>1938595</v>
      </c>
      <c r="M105" s="157"/>
      <c r="N105" s="90"/>
      <c r="O105" s="90"/>
      <c r="P105" s="291">
        <f>P87*-1</f>
        <v>300000</v>
      </c>
      <c r="Q105" s="90"/>
      <c r="R105" s="90"/>
      <c r="S105" s="154">
        <f>S87*-1</f>
        <v>0</v>
      </c>
      <c r="T105" s="309">
        <f>T87*-1</f>
        <v>0</v>
      </c>
    </row>
    <row r="106" spans="1:21">
      <c r="A106" s="284" t="s">
        <v>114</v>
      </c>
      <c r="B106" s="199"/>
      <c r="C106" s="199"/>
      <c r="D106" s="214"/>
      <c r="E106" s="214"/>
      <c r="F106" s="214"/>
      <c r="G106" s="214"/>
      <c r="H106" s="214"/>
      <c r="I106" s="214"/>
      <c r="J106" s="214"/>
      <c r="K106" s="214"/>
      <c r="L106" s="289">
        <f>L104+L105</f>
        <v>5082173</v>
      </c>
      <c r="M106" s="157"/>
      <c r="N106" s="90"/>
      <c r="O106" s="90"/>
      <c r="P106" s="347">
        <f>P104+P105</f>
        <v>4855184</v>
      </c>
      <c r="Q106" s="90"/>
      <c r="R106" s="90"/>
      <c r="S106" s="348">
        <f>S104+S105</f>
        <v>4455184</v>
      </c>
      <c r="T106" s="349">
        <f>T104+T105</f>
        <v>3240184</v>
      </c>
    </row>
    <row r="107" spans="1:21">
      <c r="A107" s="216" t="s">
        <v>115</v>
      </c>
      <c r="B107" s="199"/>
      <c r="C107" s="199"/>
      <c r="D107" s="214"/>
      <c r="E107" s="214"/>
      <c r="F107" s="214"/>
      <c r="G107" s="214"/>
      <c r="H107" s="214"/>
      <c r="I107" s="214"/>
      <c r="J107" s="214"/>
      <c r="K107" s="214"/>
      <c r="L107" s="289"/>
      <c r="M107" s="157"/>
      <c r="N107" s="90"/>
      <c r="O107" s="90"/>
      <c r="P107" s="292"/>
      <c r="Q107" s="90"/>
      <c r="R107" s="90"/>
      <c r="S107" s="154">
        <v>1215000</v>
      </c>
      <c r="T107" s="309">
        <v>1605000</v>
      </c>
      <c r="U107" s="266" t="s">
        <v>116</v>
      </c>
    </row>
    <row r="108" spans="1:21" ht="15.75" customHeight="1">
      <c r="A108" s="284" t="s">
        <v>117</v>
      </c>
      <c r="B108" s="199"/>
      <c r="C108" s="199"/>
      <c r="D108" s="199"/>
      <c r="E108" s="199"/>
      <c r="F108" s="214"/>
      <c r="G108" s="214"/>
      <c r="H108" s="214"/>
      <c r="I108" s="214"/>
      <c r="J108" s="214"/>
      <c r="K108" s="214"/>
      <c r="L108" s="288">
        <f>93340+103030+255619+75000</f>
        <v>526989</v>
      </c>
      <c r="M108" s="293"/>
      <c r="N108" s="90"/>
      <c r="O108" s="90"/>
      <c r="P108" s="237">
        <v>400000</v>
      </c>
      <c r="Q108" s="5"/>
      <c r="R108" s="5"/>
      <c r="S108" s="298">
        <f>SUM(S107:S107)</f>
        <v>1215000</v>
      </c>
      <c r="T108" s="308">
        <f>SUM(T107:T107)</f>
        <v>1605000</v>
      </c>
    </row>
    <row r="109" spans="1:21" ht="15.75" customHeight="1">
      <c r="A109" s="285"/>
      <c r="F109" s="3"/>
      <c r="G109" s="3"/>
      <c r="H109" s="3"/>
      <c r="I109" s="3"/>
      <c r="J109" s="3"/>
      <c r="K109" s="214"/>
      <c r="L109" s="287"/>
      <c r="M109" s="293"/>
      <c r="N109" s="90"/>
      <c r="O109" s="90"/>
      <c r="P109" s="293"/>
      <c r="S109" s="299"/>
      <c r="T109" s="310"/>
    </row>
    <row r="110" spans="1:21" ht="15.75" customHeight="1">
      <c r="A110" s="286" t="s">
        <v>118</v>
      </c>
      <c r="B110" s="263"/>
      <c r="C110" s="263"/>
      <c r="D110" s="263"/>
      <c r="E110" s="263"/>
      <c r="F110" s="335"/>
      <c r="G110" s="335"/>
      <c r="H110" s="335"/>
      <c r="I110" s="335"/>
      <c r="J110" s="335"/>
      <c r="K110" s="335"/>
      <c r="L110" s="336">
        <f>L106-L108</f>
        <v>4555184</v>
      </c>
      <c r="M110" s="337"/>
      <c r="N110" s="168"/>
      <c r="O110" s="168"/>
      <c r="P110" s="338">
        <f>P106-P108</f>
        <v>4455184</v>
      </c>
      <c r="Q110" s="339"/>
      <c r="R110" s="339"/>
      <c r="S110" s="340">
        <f>S106-S108</f>
        <v>3240184</v>
      </c>
      <c r="T110" s="341">
        <f>T106-T108</f>
        <v>1635184</v>
      </c>
    </row>
    <row r="111" spans="1:21" ht="15.75" customHeight="1">
      <c r="G111" s="3"/>
      <c r="L111" s="290"/>
      <c r="M111" s="293"/>
      <c r="N111" s="90"/>
      <c r="O111" s="90"/>
      <c r="P111" s="293"/>
      <c r="S111" s="299"/>
      <c r="T111" s="310"/>
    </row>
    <row r="112" spans="1:21" ht="15.75" customHeight="1">
      <c r="A112" s="5" t="s">
        <v>104</v>
      </c>
      <c r="L112" s="290"/>
      <c r="M112" s="293"/>
      <c r="N112" s="90"/>
      <c r="O112" s="90"/>
      <c r="P112" s="293"/>
      <c r="S112" s="299"/>
      <c r="T112" s="310"/>
    </row>
    <row r="113" spans="1:22" ht="15.75" customHeight="1">
      <c r="A113" t="s">
        <v>119</v>
      </c>
      <c r="L113" s="288">
        <v>14423019</v>
      </c>
      <c r="M113" s="293"/>
      <c r="N113" s="90"/>
      <c r="O113" s="90"/>
      <c r="P113" s="291">
        <f>L116+L117</f>
        <v>14465354</v>
      </c>
      <c r="S113" s="154">
        <f>P116+P117</f>
        <v>14265354</v>
      </c>
      <c r="T113" s="309">
        <f>S116+S117</f>
        <v>13853925.428571429</v>
      </c>
    </row>
    <row r="114" spans="1:22">
      <c r="A114" t="s">
        <v>120</v>
      </c>
      <c r="L114" s="288">
        <v>42335</v>
      </c>
      <c r="M114" s="293"/>
      <c r="N114" s="90"/>
      <c r="O114" s="90"/>
      <c r="P114" s="291">
        <v>50000</v>
      </c>
      <c r="S114" s="154">
        <v>50000</v>
      </c>
      <c r="T114" s="309">
        <v>50000</v>
      </c>
    </row>
    <row r="115" spans="1:22">
      <c r="A115" s="14" t="s">
        <v>121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319"/>
      <c r="M115" s="14"/>
      <c r="N115" s="96"/>
      <c r="O115" s="96"/>
      <c r="P115" s="319">
        <f>P64</f>
        <v>250000</v>
      </c>
      <c r="Q115" s="14"/>
      <c r="R115" s="14"/>
      <c r="S115" s="319">
        <f>S64</f>
        <v>461428.57142857142</v>
      </c>
      <c r="T115" s="319">
        <f>T64</f>
        <v>481428.57142857142</v>
      </c>
      <c r="U115" s="266" t="s">
        <v>122</v>
      </c>
    </row>
    <row r="116" spans="1:22">
      <c r="A116" t="s">
        <v>123</v>
      </c>
      <c r="L116" s="288">
        <v>7518880</v>
      </c>
      <c r="M116" s="293"/>
      <c r="N116" s="90"/>
      <c r="O116" s="90"/>
      <c r="P116" s="291">
        <f>L116</f>
        <v>7518880</v>
      </c>
      <c r="S116" s="154">
        <f>P116</f>
        <v>7518880</v>
      </c>
      <c r="T116" s="309">
        <f>S116</f>
        <v>7518880</v>
      </c>
      <c r="U116" s="266" t="s">
        <v>124</v>
      </c>
    </row>
    <row r="117" spans="1:22" s="5" customFormat="1">
      <c r="A117" s="5" t="s">
        <v>125</v>
      </c>
      <c r="L117" s="287">
        <f>L113+L114-L116</f>
        <v>6946474</v>
      </c>
      <c r="M117" s="294"/>
      <c r="N117" s="90"/>
      <c r="O117" s="90"/>
      <c r="P117" s="237">
        <f>P113+P114-P116-P115</f>
        <v>6746474</v>
      </c>
      <c r="S117" s="298">
        <f>S113+S114-S116-S115</f>
        <v>6335045.4285714282</v>
      </c>
      <c r="T117" s="308">
        <f>T113+T114-T116-T115</f>
        <v>5903616.8571428573</v>
      </c>
      <c r="U117" s="333"/>
    </row>
    <row r="118" spans="1:22">
      <c r="L118" s="288"/>
      <c r="M118" s="293"/>
      <c r="N118" s="90"/>
      <c r="O118" s="90"/>
      <c r="P118" s="291"/>
      <c r="S118" s="299"/>
      <c r="T118" s="310"/>
    </row>
    <row r="119" spans="1:22">
      <c r="A119" s="5" t="s">
        <v>126</v>
      </c>
      <c r="L119" s="288"/>
      <c r="M119" s="293"/>
      <c r="N119" s="90"/>
      <c r="O119" s="90"/>
      <c r="P119" s="291"/>
      <c r="S119" s="299"/>
      <c r="T119" s="310"/>
    </row>
    <row r="120" spans="1:22">
      <c r="A120" t="s">
        <v>127</v>
      </c>
      <c r="L120" s="288">
        <v>542200</v>
      </c>
      <c r="M120" s="293"/>
      <c r="N120" s="90"/>
      <c r="O120" s="90"/>
      <c r="P120" s="291">
        <f>L122</f>
        <v>542200</v>
      </c>
      <c r="S120" s="154">
        <f>P122</f>
        <v>492200</v>
      </c>
      <c r="T120" s="309">
        <f>S122</f>
        <v>442200</v>
      </c>
    </row>
    <row r="121" spans="1:22">
      <c r="A121" t="s">
        <v>128</v>
      </c>
      <c r="L121" s="288">
        <v>0</v>
      </c>
      <c r="M121" s="293"/>
      <c r="N121" s="90"/>
      <c r="O121" s="90"/>
      <c r="P121" s="291">
        <v>50000</v>
      </c>
      <c r="S121" s="154">
        <v>50000</v>
      </c>
      <c r="T121" s="309">
        <v>50000</v>
      </c>
      <c r="U121" s="266" t="s">
        <v>129</v>
      </c>
    </row>
    <row r="122" spans="1:22">
      <c r="A122" s="342" t="s">
        <v>130</v>
      </c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6">
        <v>542200</v>
      </c>
      <c r="M122" s="343"/>
      <c r="N122" s="168"/>
      <c r="O122" s="168"/>
      <c r="P122" s="338">
        <f>P120-P121</f>
        <v>492200</v>
      </c>
      <c r="Q122" s="339"/>
      <c r="R122" s="339"/>
      <c r="S122" s="340">
        <f>S120-S121</f>
        <v>442200</v>
      </c>
      <c r="T122" s="341">
        <f>T120-T121</f>
        <v>392200</v>
      </c>
    </row>
    <row r="123" spans="1:22">
      <c r="L123" s="155"/>
      <c r="N123" s="90"/>
      <c r="O123" s="90"/>
      <c r="P123" s="155"/>
    </row>
    <row r="124" spans="1:22" ht="30">
      <c r="A124" s="330" t="s">
        <v>131</v>
      </c>
      <c r="L124" s="155"/>
      <c r="N124" s="90"/>
      <c r="O124" s="155">
        <v>150000</v>
      </c>
      <c r="P124" s="291">
        <f>O124</f>
        <v>150000</v>
      </c>
      <c r="S124" s="154">
        <v>150000</v>
      </c>
      <c r="T124" s="309">
        <v>150000</v>
      </c>
      <c r="V124" s="3"/>
    </row>
    <row r="125" spans="1:22">
      <c r="L125" s="155"/>
      <c r="N125" s="90"/>
      <c r="O125" s="90"/>
      <c r="P125" s="155"/>
    </row>
    <row r="126" spans="1:22" s="325" customFormat="1" ht="15" thickBot="1">
      <c r="A126" s="324" t="s">
        <v>132</v>
      </c>
      <c r="N126" s="326"/>
      <c r="O126" s="326"/>
      <c r="U126" s="334"/>
    </row>
    <row r="127" spans="1:22">
      <c r="A127" t="s">
        <v>133</v>
      </c>
      <c r="L127" s="290"/>
      <c r="M127" s="293"/>
      <c r="N127" s="155"/>
      <c r="P127" s="351"/>
      <c r="S127" s="154">
        <v>2000000</v>
      </c>
      <c r="T127" s="309"/>
      <c r="U127" s="266" t="s">
        <v>134</v>
      </c>
      <c r="V127" s="3">
        <f>S127*0.2/35</f>
        <v>11428.571428571429</v>
      </c>
    </row>
    <row r="128" spans="1:22">
      <c r="A128" t="s">
        <v>135</v>
      </c>
      <c r="L128" s="290"/>
      <c r="M128" s="293"/>
      <c r="N128" s="155">
        <v>500000</v>
      </c>
      <c r="O128" s="155"/>
      <c r="P128" s="351">
        <v>500000</v>
      </c>
      <c r="S128" s="154"/>
      <c r="T128" s="309"/>
      <c r="U128" s="266" t="s">
        <v>136</v>
      </c>
      <c r="V128" s="3">
        <f>N128/5</f>
        <v>100000</v>
      </c>
    </row>
    <row r="129" spans="1:22">
      <c r="A129" t="s">
        <v>137</v>
      </c>
      <c r="L129" s="290"/>
      <c r="M129" s="293"/>
      <c r="N129" s="90"/>
      <c r="O129" s="155"/>
      <c r="P129" s="351"/>
      <c r="S129" s="154"/>
      <c r="T129" s="309">
        <v>500000</v>
      </c>
      <c r="U129" s="266" t="s">
        <v>138</v>
      </c>
      <c r="V129" s="3">
        <f>T129/25</f>
        <v>20000</v>
      </c>
    </row>
    <row r="130" spans="1:22">
      <c r="A130" t="s">
        <v>139</v>
      </c>
      <c r="L130" s="290"/>
      <c r="M130" s="293"/>
      <c r="N130" s="90"/>
      <c r="O130" s="155"/>
      <c r="P130" s="351"/>
      <c r="S130" s="154">
        <v>500000</v>
      </c>
      <c r="T130" s="309"/>
      <c r="U130" s="266" t="s">
        <v>140</v>
      </c>
      <c r="V130" s="3">
        <f>S130/5</f>
        <v>100000</v>
      </c>
    </row>
    <row r="131" spans="1:22">
      <c r="A131" t="s">
        <v>141</v>
      </c>
      <c r="L131" s="290"/>
      <c r="M131" s="293"/>
      <c r="N131" s="155">
        <v>300000</v>
      </c>
      <c r="P131" s="351">
        <f>N131</f>
        <v>300000</v>
      </c>
      <c r="S131" s="154"/>
      <c r="T131" s="309"/>
      <c r="U131" s="266" t="s">
        <v>142</v>
      </c>
      <c r="V131" s="3">
        <f>P131/5</f>
        <v>60000</v>
      </c>
    </row>
    <row r="132" spans="1:22">
      <c r="A132" t="s">
        <v>143</v>
      </c>
      <c r="L132" s="290"/>
      <c r="M132" s="293"/>
      <c r="N132" s="90"/>
      <c r="O132" s="90"/>
      <c r="P132" s="352"/>
      <c r="S132" s="154">
        <v>2500000</v>
      </c>
      <c r="T132" s="310"/>
      <c r="U132" s="266" t="s">
        <v>144</v>
      </c>
      <c r="V132" s="3">
        <f>S132/5</f>
        <v>500000</v>
      </c>
    </row>
    <row r="133" spans="1:22">
      <c r="A133" t="s">
        <v>145</v>
      </c>
      <c r="L133" s="290"/>
      <c r="M133" s="293"/>
      <c r="N133" s="90"/>
      <c r="O133" s="90"/>
      <c r="P133" s="352"/>
      <c r="S133" s="154">
        <v>750000</v>
      </c>
      <c r="T133" s="310"/>
      <c r="U133" s="266" t="s">
        <v>144</v>
      </c>
      <c r="V133" s="3">
        <f>S133/5</f>
        <v>150000</v>
      </c>
    </row>
    <row r="134" spans="1:22">
      <c r="N134" s="90"/>
      <c r="O134" s="90"/>
      <c r="P134" s="273"/>
    </row>
    <row r="135" spans="1:22">
      <c r="O135" s="273"/>
      <c r="P135" s="273"/>
    </row>
    <row r="136" spans="1:22">
      <c r="O136" s="273"/>
      <c r="P136" s="273"/>
    </row>
    <row r="137" spans="1:22">
      <c r="O137" s="273"/>
      <c r="P137" s="274"/>
    </row>
    <row r="138" spans="1:22">
      <c r="O138" s="273"/>
      <c r="P138" s="274"/>
    </row>
    <row r="139" spans="1:22">
      <c r="O139" s="273"/>
      <c r="P139" s="274"/>
    </row>
    <row r="140" spans="1:22">
      <c r="P140" s="274"/>
    </row>
  </sheetData>
  <conditionalFormatting sqref="N35:N57">
    <cfRule type="cellIs" dxfId="93" priority="5" operator="greaterThan">
      <formula>0</formula>
    </cfRule>
    <cfRule type="cellIs" dxfId="92" priority="6" operator="lessThan">
      <formula>0</formula>
    </cfRule>
  </conditionalFormatting>
  <conditionalFormatting sqref="N6:O17 O18 N19:O25">
    <cfRule type="cellIs" dxfId="91" priority="13" operator="greaterThan">
      <formula>0</formula>
    </cfRule>
    <cfRule type="cellIs" dxfId="90" priority="14" operator="lessThan">
      <formula>0</formula>
    </cfRule>
  </conditionalFormatting>
  <conditionalFormatting sqref="N27:O27">
    <cfRule type="cellIs" dxfId="89" priority="11" operator="greaterThan">
      <formula>0</formula>
    </cfRule>
    <cfRule type="cellIs" dxfId="88" priority="12" operator="lessThan">
      <formula>0</formula>
    </cfRule>
  </conditionalFormatting>
  <conditionalFormatting sqref="N84:O84">
    <cfRule type="cellIs" dxfId="87" priority="3" operator="greaterThan">
      <formula>0</formula>
    </cfRule>
    <cfRule type="cellIs" dxfId="86" priority="4" operator="lessThan">
      <formula>0</formula>
    </cfRule>
  </conditionalFormatting>
  <conditionalFormatting sqref="N95:O95">
    <cfRule type="cellIs" dxfId="85" priority="1" operator="greaterThan">
      <formula>0</formula>
    </cfRule>
    <cfRule type="cellIs" dxfId="84" priority="2" operator="lessThan">
      <formula>0</formula>
    </cfRule>
  </conditionalFormatting>
  <conditionalFormatting sqref="O35:O83 N59:N81 N83 N96:O100">
    <cfRule type="cellIs" dxfId="83" priority="15" operator="greaterThan">
      <formula>0</formula>
    </cfRule>
    <cfRule type="cellIs" dxfId="82" priority="16" operator="lessThan">
      <formula>0</formula>
    </cfRule>
  </conditionalFormatting>
  <conditionalFormatting sqref="Q7:Q31">
    <cfRule type="cellIs" dxfId="81" priority="53" operator="greaterThan">
      <formula>0</formula>
    </cfRule>
    <cfRule type="cellIs" dxfId="80" priority="54" operator="lessThan">
      <formula>0</formula>
    </cfRule>
  </conditionalFormatting>
  <conditionalFormatting sqref="Q35:Q83">
    <cfRule type="cellIs" dxfId="79" priority="197" operator="greaterThan">
      <formula>0</formula>
    </cfRule>
    <cfRule type="cellIs" dxfId="78" priority="198" operator="lessThan">
      <formula>0</formula>
    </cfRule>
  </conditionalFormatting>
  <conditionalFormatting sqref="Q84:Q85">
    <cfRule type="cellIs" dxfId="77" priority="43" operator="greaterThan">
      <formula>0</formula>
    </cfRule>
    <cfRule type="cellIs" dxfId="76" priority="44" operator="lessThan">
      <formula>0</formula>
    </cfRule>
  </conditionalFormatting>
  <conditionalFormatting sqref="Q94:Q100">
    <cfRule type="cellIs" dxfId="75" priority="45" operator="greaterThan">
      <formula>0</formula>
    </cfRule>
    <cfRule type="cellIs" dxfId="74" priority="46" operator="lessThan">
      <formula>0</formula>
    </cfRule>
  </conditionalFormatting>
  <pageMargins left="0.7" right="0.7" top="0.75" bottom="0.75" header="0.3" footer="0.3"/>
  <pageSetup paperSize="9" scale="3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D5648-2D41-4466-90EC-8DEC5BE157C9}">
  <sheetPr filterMode="1"/>
  <dimension ref="A1:M628"/>
  <sheetViews>
    <sheetView workbookViewId="0">
      <selection activeCell="C34" sqref="C34"/>
    </sheetView>
  </sheetViews>
  <sheetFormatPr baseColWidth="10" defaultColWidth="8.83203125" defaultRowHeight="14"/>
  <cols>
    <col min="1" max="1" width="17.5" bestFit="1" customWidth="1"/>
    <col min="2" max="2" width="32.5" bestFit="1" customWidth="1"/>
    <col min="3" max="3" width="10.83203125" bestFit="1" customWidth="1"/>
    <col min="4" max="4" width="11.5" bestFit="1" customWidth="1"/>
  </cols>
  <sheetData>
    <row r="1" spans="1:13" ht="15">
      <c r="A1" s="550" t="s">
        <v>147</v>
      </c>
      <c r="B1" s="550" t="s">
        <v>148</v>
      </c>
      <c r="C1" s="550" t="s">
        <v>152</v>
      </c>
      <c r="D1" s="550" t="s">
        <v>153</v>
      </c>
      <c r="E1" s="550" t="s">
        <v>149</v>
      </c>
      <c r="F1" s="550" t="s">
        <v>2029</v>
      </c>
      <c r="G1" s="550" t="s">
        <v>150</v>
      </c>
      <c r="H1" s="550" t="s">
        <v>151</v>
      </c>
      <c r="I1" s="550" t="s">
        <v>2030</v>
      </c>
      <c r="J1" s="550" t="s">
        <v>2031</v>
      </c>
      <c r="K1" s="550" t="s">
        <v>2032</v>
      </c>
      <c r="L1" s="550" t="s">
        <v>2033</v>
      </c>
      <c r="M1" s="550" t="s">
        <v>2034</v>
      </c>
    </row>
    <row r="2" spans="1:13" ht="15">
      <c r="A2" s="551" t="s">
        <v>154</v>
      </c>
      <c r="B2" s="551" t="s">
        <v>155</v>
      </c>
      <c r="C2" s="552">
        <v>0</v>
      </c>
      <c r="D2" s="552">
        <v>0</v>
      </c>
      <c r="E2" s="551" t="s">
        <v>156</v>
      </c>
      <c r="F2" s="551" t="s">
        <v>100</v>
      </c>
      <c r="G2" s="551" t="s">
        <v>1548</v>
      </c>
      <c r="H2" s="551" t="s">
        <v>100</v>
      </c>
      <c r="I2" s="551" t="s">
        <v>2035</v>
      </c>
      <c r="J2" s="551" t="s">
        <v>100</v>
      </c>
      <c r="K2" s="551" t="s">
        <v>100</v>
      </c>
      <c r="L2" s="551" t="s">
        <v>100</v>
      </c>
      <c r="M2" s="551" t="s">
        <v>100</v>
      </c>
    </row>
    <row r="3" spans="1:13" ht="15">
      <c r="A3" s="551" t="s">
        <v>158</v>
      </c>
      <c r="B3" s="551" t="s">
        <v>159</v>
      </c>
      <c r="C3" s="552">
        <v>0</v>
      </c>
      <c r="D3" s="552">
        <v>0</v>
      </c>
      <c r="E3" s="551" t="s">
        <v>156</v>
      </c>
      <c r="F3" s="551" t="s">
        <v>100</v>
      </c>
      <c r="G3" s="551" t="s">
        <v>1548</v>
      </c>
      <c r="H3" s="551" t="s">
        <v>100</v>
      </c>
      <c r="I3" s="551" t="s">
        <v>2035</v>
      </c>
      <c r="J3" s="551" t="s">
        <v>100</v>
      </c>
      <c r="K3" s="551" t="s">
        <v>100</v>
      </c>
      <c r="L3" s="551" t="s">
        <v>100</v>
      </c>
      <c r="M3" s="551" t="s">
        <v>100</v>
      </c>
    </row>
    <row r="4" spans="1:13" ht="15">
      <c r="A4" s="551" t="s">
        <v>160</v>
      </c>
      <c r="B4" s="551" t="s">
        <v>161</v>
      </c>
      <c r="C4" s="552">
        <v>-2030217.5</v>
      </c>
      <c r="D4" s="552">
        <v>-10094082.5</v>
      </c>
      <c r="E4" s="551" t="s">
        <v>156</v>
      </c>
      <c r="F4" s="551" t="s">
        <v>100</v>
      </c>
      <c r="G4" s="551" t="s">
        <v>1549</v>
      </c>
      <c r="H4" s="551" t="s">
        <v>100</v>
      </c>
      <c r="I4" s="551" t="s">
        <v>2036</v>
      </c>
      <c r="J4" s="551" t="s">
        <v>2037</v>
      </c>
      <c r="K4" s="551" t="s">
        <v>160</v>
      </c>
      <c r="L4" s="551" t="s">
        <v>100</v>
      </c>
      <c r="M4" s="551" t="s">
        <v>100</v>
      </c>
    </row>
    <row r="5" spans="1:13" ht="15">
      <c r="A5" s="551" t="s">
        <v>163</v>
      </c>
      <c r="B5" s="551" t="s">
        <v>164</v>
      </c>
      <c r="C5" s="552">
        <v>0</v>
      </c>
      <c r="D5" s="552">
        <v>0</v>
      </c>
      <c r="E5" s="551" t="s">
        <v>156</v>
      </c>
      <c r="F5" s="551" t="s">
        <v>100</v>
      </c>
      <c r="G5" s="551" t="s">
        <v>1549</v>
      </c>
      <c r="H5" s="551" t="s">
        <v>100</v>
      </c>
      <c r="I5" s="551" t="s">
        <v>2036</v>
      </c>
      <c r="J5" s="551" t="s">
        <v>2037</v>
      </c>
      <c r="K5" s="551" t="s">
        <v>163</v>
      </c>
      <c r="L5" s="551" t="s">
        <v>100</v>
      </c>
      <c r="M5" s="551" t="s">
        <v>100</v>
      </c>
    </row>
    <row r="6" spans="1:13" ht="15">
      <c r="A6" s="551" t="s">
        <v>165</v>
      </c>
      <c r="B6" s="551" t="s">
        <v>166</v>
      </c>
      <c r="C6" s="552">
        <v>-611.57000000000005</v>
      </c>
      <c r="D6" s="552">
        <v>-78441.88</v>
      </c>
      <c r="E6" s="551" t="s">
        <v>156</v>
      </c>
      <c r="F6" s="551" t="s">
        <v>100</v>
      </c>
      <c r="G6" s="551" t="s">
        <v>1549</v>
      </c>
      <c r="H6" s="551" t="s">
        <v>100</v>
      </c>
      <c r="I6" s="551" t="s">
        <v>2036</v>
      </c>
      <c r="J6" s="551" t="s">
        <v>2037</v>
      </c>
      <c r="K6" s="551" t="s">
        <v>165</v>
      </c>
      <c r="L6" s="551" t="s">
        <v>100</v>
      </c>
      <c r="M6" s="551" t="s">
        <v>100</v>
      </c>
    </row>
    <row r="7" spans="1:13" ht="15">
      <c r="A7" s="551" t="s">
        <v>167</v>
      </c>
      <c r="B7" s="551" t="s">
        <v>168</v>
      </c>
      <c r="C7" s="552">
        <v>-2030829.07</v>
      </c>
      <c r="D7" s="552">
        <v>-10172524.380000001</v>
      </c>
      <c r="E7" s="551" t="s">
        <v>156</v>
      </c>
      <c r="F7" s="551" t="s">
        <v>100</v>
      </c>
      <c r="G7" s="551" t="s">
        <v>1550</v>
      </c>
      <c r="H7" s="551" t="s">
        <v>170</v>
      </c>
      <c r="I7" s="551" t="s">
        <v>2035</v>
      </c>
      <c r="J7" s="551" t="s">
        <v>100</v>
      </c>
      <c r="K7" s="551" t="s">
        <v>100</v>
      </c>
      <c r="L7" s="551" t="s">
        <v>100</v>
      </c>
      <c r="M7" s="551" t="s">
        <v>100</v>
      </c>
    </row>
    <row r="8" spans="1:13" ht="15">
      <c r="A8" s="551" t="s">
        <v>171</v>
      </c>
      <c r="B8" s="551" t="s">
        <v>172</v>
      </c>
      <c r="C8" s="552">
        <v>0</v>
      </c>
      <c r="D8" s="552">
        <v>0</v>
      </c>
      <c r="E8" s="551" t="s">
        <v>156</v>
      </c>
      <c r="F8" s="551" t="s">
        <v>100</v>
      </c>
      <c r="G8" s="551" t="s">
        <v>1548</v>
      </c>
      <c r="H8" s="551" t="s">
        <v>100</v>
      </c>
      <c r="I8" s="551" t="s">
        <v>2035</v>
      </c>
      <c r="J8" s="551" t="s">
        <v>100</v>
      </c>
      <c r="K8" s="551" t="s">
        <v>100</v>
      </c>
      <c r="L8" s="551" t="s">
        <v>100</v>
      </c>
      <c r="M8" s="551" t="s">
        <v>100</v>
      </c>
    </row>
    <row r="9" spans="1:13" ht="15">
      <c r="A9" s="551" t="s">
        <v>173</v>
      </c>
      <c r="B9" s="551" t="s">
        <v>174</v>
      </c>
      <c r="C9" s="552">
        <v>0</v>
      </c>
      <c r="D9" s="552">
        <v>-7804703</v>
      </c>
      <c r="E9" s="551" t="s">
        <v>156</v>
      </c>
      <c r="F9" s="551" t="s">
        <v>100</v>
      </c>
      <c r="G9" s="551" t="s">
        <v>1549</v>
      </c>
      <c r="H9" s="551" t="s">
        <v>100</v>
      </c>
      <c r="I9" s="551" t="s">
        <v>2035</v>
      </c>
      <c r="J9" s="551" t="s">
        <v>100</v>
      </c>
      <c r="K9" s="551" t="s">
        <v>100</v>
      </c>
      <c r="L9" s="551" t="s">
        <v>100</v>
      </c>
      <c r="M9" s="551" t="s">
        <v>100</v>
      </c>
    </row>
    <row r="10" spans="1:13" ht="15">
      <c r="A10" s="551" t="s">
        <v>175</v>
      </c>
      <c r="B10" s="551" t="s">
        <v>176</v>
      </c>
      <c r="C10" s="552">
        <v>0</v>
      </c>
      <c r="D10" s="552">
        <v>-202990.94</v>
      </c>
      <c r="E10" s="551" t="s">
        <v>156</v>
      </c>
      <c r="F10" s="551" t="s">
        <v>100</v>
      </c>
      <c r="G10" s="551" t="s">
        <v>1549</v>
      </c>
      <c r="H10" s="551" t="s">
        <v>100</v>
      </c>
      <c r="I10" s="551" t="s">
        <v>2035</v>
      </c>
      <c r="J10" s="551" t="s">
        <v>100</v>
      </c>
      <c r="K10" s="551" t="s">
        <v>100</v>
      </c>
      <c r="L10" s="551" t="s">
        <v>100</v>
      </c>
      <c r="M10" s="551" t="s">
        <v>100</v>
      </c>
    </row>
    <row r="11" spans="1:13" ht="15">
      <c r="A11" s="551" t="s">
        <v>177</v>
      </c>
      <c r="B11" s="551" t="s">
        <v>178</v>
      </c>
      <c r="C11" s="552">
        <v>-67760.100000000006</v>
      </c>
      <c r="D11" s="552">
        <v>-908995.26</v>
      </c>
      <c r="E11" s="551" t="s">
        <v>156</v>
      </c>
      <c r="F11" s="551" t="s">
        <v>100</v>
      </c>
      <c r="G11" s="551" t="s">
        <v>1549</v>
      </c>
      <c r="H11" s="551" t="s">
        <v>100</v>
      </c>
      <c r="I11" s="551" t="s">
        <v>2035</v>
      </c>
      <c r="J11" s="551" t="s">
        <v>100</v>
      </c>
      <c r="K11" s="551" t="s">
        <v>100</v>
      </c>
      <c r="L11" s="551" t="s">
        <v>100</v>
      </c>
      <c r="M11" s="551" t="s">
        <v>100</v>
      </c>
    </row>
    <row r="12" spans="1:13" ht="15">
      <c r="A12" s="551" t="s">
        <v>179</v>
      </c>
      <c r="B12" s="551" t="s">
        <v>180</v>
      </c>
      <c r="C12" s="552">
        <v>66200</v>
      </c>
      <c r="D12" s="552">
        <v>891155.11</v>
      </c>
      <c r="E12" s="551" t="s">
        <v>156</v>
      </c>
      <c r="F12" s="551" t="s">
        <v>100</v>
      </c>
      <c r="G12" s="551" t="s">
        <v>1549</v>
      </c>
      <c r="H12" s="551" t="s">
        <v>100</v>
      </c>
      <c r="I12" s="551" t="s">
        <v>2035</v>
      </c>
      <c r="J12" s="551" t="s">
        <v>100</v>
      </c>
      <c r="K12" s="551" t="s">
        <v>100</v>
      </c>
      <c r="L12" s="551" t="s">
        <v>100</v>
      </c>
      <c r="M12" s="551" t="s">
        <v>100</v>
      </c>
    </row>
    <row r="13" spans="1:13" ht="15">
      <c r="A13" s="551" t="s">
        <v>181</v>
      </c>
      <c r="B13" s="551" t="s">
        <v>182</v>
      </c>
      <c r="C13" s="552">
        <v>0</v>
      </c>
      <c r="D13" s="552">
        <v>6800</v>
      </c>
      <c r="E13" s="551" t="s">
        <v>156</v>
      </c>
      <c r="F13" s="551" t="s">
        <v>100</v>
      </c>
      <c r="G13" s="551" t="s">
        <v>1549</v>
      </c>
      <c r="H13" s="551" t="s">
        <v>100</v>
      </c>
      <c r="I13" s="551" t="s">
        <v>2035</v>
      </c>
      <c r="J13" s="551" t="s">
        <v>100</v>
      </c>
      <c r="K13" s="551" t="s">
        <v>100</v>
      </c>
      <c r="L13" s="551" t="s">
        <v>100</v>
      </c>
      <c r="M13" s="551" t="s">
        <v>100</v>
      </c>
    </row>
    <row r="14" spans="1:13" ht="15">
      <c r="A14" s="551" t="s">
        <v>183</v>
      </c>
      <c r="B14" s="551" t="s">
        <v>184</v>
      </c>
      <c r="C14" s="552">
        <v>0</v>
      </c>
      <c r="D14" s="552">
        <v>-390559</v>
      </c>
      <c r="E14" s="551" t="s">
        <v>156</v>
      </c>
      <c r="F14" s="551" t="s">
        <v>100</v>
      </c>
      <c r="G14" s="551" t="s">
        <v>1549</v>
      </c>
      <c r="H14" s="551" t="s">
        <v>100</v>
      </c>
      <c r="I14" s="551" t="s">
        <v>2035</v>
      </c>
      <c r="J14" s="551" t="s">
        <v>100</v>
      </c>
      <c r="K14" s="551" t="s">
        <v>100</v>
      </c>
      <c r="L14" s="551" t="s">
        <v>100</v>
      </c>
      <c r="M14" s="551" t="s">
        <v>100</v>
      </c>
    </row>
    <row r="15" spans="1:13" ht="15">
      <c r="A15" s="551" t="s">
        <v>1551</v>
      </c>
      <c r="B15" s="551" t="s">
        <v>1552</v>
      </c>
      <c r="C15" s="552">
        <v>0</v>
      </c>
      <c r="D15" s="552">
        <v>0</v>
      </c>
      <c r="E15" s="551" t="s">
        <v>156</v>
      </c>
      <c r="F15" s="551" t="s">
        <v>100</v>
      </c>
      <c r="G15" s="551" t="s">
        <v>1549</v>
      </c>
      <c r="H15" s="551" t="s">
        <v>100</v>
      </c>
      <c r="I15" s="551" t="s">
        <v>2035</v>
      </c>
      <c r="J15" s="551" t="s">
        <v>100</v>
      </c>
      <c r="K15" s="551" t="s">
        <v>100</v>
      </c>
      <c r="L15" s="551" t="s">
        <v>100</v>
      </c>
      <c r="M15" s="551" t="s">
        <v>100</v>
      </c>
    </row>
    <row r="16" spans="1:13" ht="15">
      <c r="A16" s="551" t="s">
        <v>1553</v>
      </c>
      <c r="B16" s="551" t="s">
        <v>1554</v>
      </c>
      <c r="C16" s="552">
        <v>0</v>
      </c>
      <c r="D16" s="552">
        <v>-462515.34</v>
      </c>
      <c r="E16" s="551" t="s">
        <v>156</v>
      </c>
      <c r="F16" s="551" t="s">
        <v>100</v>
      </c>
      <c r="G16" s="551" t="s">
        <v>1549</v>
      </c>
      <c r="H16" s="551" t="s">
        <v>100</v>
      </c>
      <c r="I16" s="551" t="s">
        <v>2035</v>
      </c>
      <c r="J16" s="551" t="s">
        <v>100</v>
      </c>
      <c r="K16" s="551" t="s">
        <v>100</v>
      </c>
      <c r="L16" s="551" t="s">
        <v>100</v>
      </c>
      <c r="M16" s="551" t="s">
        <v>100</v>
      </c>
    </row>
    <row r="17" spans="1:13" ht="15">
      <c r="A17" s="551" t="s">
        <v>185</v>
      </c>
      <c r="B17" s="551" t="s">
        <v>186</v>
      </c>
      <c r="C17" s="552">
        <v>-1560.1</v>
      </c>
      <c r="D17" s="552">
        <v>-8871808.4299999997</v>
      </c>
      <c r="E17" s="551" t="s">
        <v>156</v>
      </c>
      <c r="F17" s="551" t="s">
        <v>100</v>
      </c>
      <c r="G17" s="551" t="s">
        <v>1550</v>
      </c>
      <c r="H17" s="551" t="s">
        <v>187</v>
      </c>
      <c r="I17" s="551" t="s">
        <v>2035</v>
      </c>
      <c r="J17" s="551" t="s">
        <v>100</v>
      </c>
      <c r="K17" s="551" t="s">
        <v>100</v>
      </c>
      <c r="L17" s="551" t="s">
        <v>100</v>
      </c>
      <c r="M17" s="551" t="s">
        <v>100</v>
      </c>
    </row>
    <row r="18" spans="1:13" ht="15">
      <c r="A18" s="551" t="s">
        <v>188</v>
      </c>
      <c r="B18" s="551" t="s">
        <v>189</v>
      </c>
      <c r="C18" s="552">
        <v>0</v>
      </c>
      <c r="D18" s="552">
        <v>0</v>
      </c>
      <c r="E18" s="551" t="s">
        <v>156</v>
      </c>
      <c r="F18" s="551" t="s">
        <v>100</v>
      </c>
      <c r="G18" s="551" t="s">
        <v>1548</v>
      </c>
      <c r="H18" s="551" t="s">
        <v>100</v>
      </c>
      <c r="I18" s="551" t="s">
        <v>2035</v>
      </c>
      <c r="J18" s="551" t="s">
        <v>100</v>
      </c>
      <c r="K18" s="551" t="s">
        <v>100</v>
      </c>
      <c r="L18" s="551" t="s">
        <v>100</v>
      </c>
      <c r="M18" s="551" t="s">
        <v>100</v>
      </c>
    </row>
    <row r="19" spans="1:13" ht="15">
      <c r="A19" s="551" t="s">
        <v>190</v>
      </c>
      <c r="B19" s="551" t="s">
        <v>191</v>
      </c>
      <c r="C19" s="552">
        <v>0</v>
      </c>
      <c r="D19" s="552">
        <v>0</v>
      </c>
      <c r="E19" s="551" t="s">
        <v>156</v>
      </c>
      <c r="F19" s="551" t="s">
        <v>100</v>
      </c>
      <c r="G19" s="551" t="s">
        <v>1548</v>
      </c>
      <c r="H19" s="551" t="s">
        <v>100</v>
      </c>
      <c r="I19" s="551" t="s">
        <v>2035</v>
      </c>
      <c r="J19" s="551" t="s">
        <v>100</v>
      </c>
      <c r="K19" s="551" t="s">
        <v>100</v>
      </c>
      <c r="L19" s="551" t="s">
        <v>100</v>
      </c>
      <c r="M19" s="551" t="s">
        <v>100</v>
      </c>
    </row>
    <row r="20" spans="1:13" ht="15">
      <c r="A20" s="551" t="s">
        <v>192</v>
      </c>
      <c r="B20" s="551" t="s">
        <v>193</v>
      </c>
      <c r="C20" s="552">
        <v>0</v>
      </c>
      <c r="D20" s="552">
        <v>574582</v>
      </c>
      <c r="E20" s="551" t="s">
        <v>156</v>
      </c>
      <c r="F20" s="551" t="s">
        <v>100</v>
      </c>
      <c r="G20" s="551" t="s">
        <v>1549</v>
      </c>
      <c r="H20" s="551" t="s">
        <v>100</v>
      </c>
      <c r="I20" s="551" t="s">
        <v>2035</v>
      </c>
      <c r="J20" s="551" t="s">
        <v>100</v>
      </c>
      <c r="K20" s="551" t="s">
        <v>100</v>
      </c>
      <c r="L20" s="551" t="s">
        <v>100</v>
      </c>
      <c r="M20" s="551" t="s">
        <v>100</v>
      </c>
    </row>
    <row r="21" spans="1:13" ht="15">
      <c r="A21" s="551" t="s">
        <v>194</v>
      </c>
      <c r="B21" s="551" t="s">
        <v>195</v>
      </c>
      <c r="C21" s="552">
        <v>0</v>
      </c>
      <c r="D21" s="552">
        <v>574582</v>
      </c>
      <c r="E21" s="551" t="s">
        <v>156</v>
      </c>
      <c r="F21" s="551" t="s">
        <v>100</v>
      </c>
      <c r="G21" s="551" t="s">
        <v>1550</v>
      </c>
      <c r="H21" s="551" t="s">
        <v>196</v>
      </c>
      <c r="I21" s="551" t="s">
        <v>2035</v>
      </c>
      <c r="J21" s="551" t="s">
        <v>100</v>
      </c>
      <c r="K21" s="551" t="s">
        <v>100</v>
      </c>
      <c r="L21" s="551" t="s">
        <v>100</v>
      </c>
      <c r="M21" s="551" t="s">
        <v>100</v>
      </c>
    </row>
    <row r="22" spans="1:13" ht="15">
      <c r="A22" s="551" t="s">
        <v>197</v>
      </c>
      <c r="B22" s="551" t="s">
        <v>198</v>
      </c>
      <c r="C22" s="552">
        <v>0</v>
      </c>
      <c r="D22" s="552">
        <v>0</v>
      </c>
      <c r="E22" s="551" t="s">
        <v>156</v>
      </c>
      <c r="F22" s="551" t="s">
        <v>100</v>
      </c>
      <c r="G22" s="551" t="s">
        <v>1548</v>
      </c>
      <c r="H22" s="551" t="s">
        <v>100</v>
      </c>
      <c r="I22" s="551" t="s">
        <v>2035</v>
      </c>
      <c r="J22" s="551" t="s">
        <v>100</v>
      </c>
      <c r="K22" s="551" t="s">
        <v>100</v>
      </c>
      <c r="L22" s="551" t="s">
        <v>100</v>
      </c>
      <c r="M22" s="551" t="s">
        <v>100</v>
      </c>
    </row>
    <row r="23" spans="1:13" ht="15">
      <c r="A23" s="551" t="s">
        <v>199</v>
      </c>
      <c r="B23" s="551" t="s">
        <v>200</v>
      </c>
      <c r="C23" s="552">
        <v>0</v>
      </c>
      <c r="D23" s="552">
        <v>-447507.39</v>
      </c>
      <c r="E23" s="551" t="s">
        <v>156</v>
      </c>
      <c r="F23" s="551" t="s">
        <v>100</v>
      </c>
      <c r="G23" s="551" t="s">
        <v>1549</v>
      </c>
      <c r="H23" s="551" t="s">
        <v>100</v>
      </c>
      <c r="I23" s="551" t="s">
        <v>2036</v>
      </c>
      <c r="J23" s="551" t="s">
        <v>2037</v>
      </c>
      <c r="K23" s="551" t="s">
        <v>199</v>
      </c>
      <c r="L23" s="551" t="s">
        <v>100</v>
      </c>
      <c r="M23" s="551" t="s">
        <v>100</v>
      </c>
    </row>
    <row r="24" spans="1:13" ht="15">
      <c r="A24" s="551" t="s">
        <v>201</v>
      </c>
      <c r="B24" s="551" t="s">
        <v>202</v>
      </c>
      <c r="C24" s="552">
        <v>0</v>
      </c>
      <c r="D24" s="552">
        <v>0</v>
      </c>
      <c r="E24" s="551" t="s">
        <v>156</v>
      </c>
      <c r="F24" s="551" t="s">
        <v>100</v>
      </c>
      <c r="G24" s="551" t="s">
        <v>1549</v>
      </c>
      <c r="H24" s="551" t="s">
        <v>100</v>
      </c>
      <c r="I24" s="551" t="s">
        <v>2035</v>
      </c>
      <c r="J24" s="551" t="s">
        <v>100</v>
      </c>
      <c r="K24" s="551" t="s">
        <v>100</v>
      </c>
      <c r="L24" s="551" t="s">
        <v>100</v>
      </c>
      <c r="M24" s="551" t="s">
        <v>100</v>
      </c>
    </row>
    <row r="25" spans="1:13" ht="15">
      <c r="A25" s="551" t="s">
        <v>203</v>
      </c>
      <c r="B25" s="551" t="s">
        <v>204</v>
      </c>
      <c r="C25" s="552">
        <v>0</v>
      </c>
      <c r="D25" s="552">
        <v>25453.61</v>
      </c>
      <c r="E25" s="551" t="s">
        <v>156</v>
      </c>
      <c r="F25" s="551" t="s">
        <v>100</v>
      </c>
      <c r="G25" s="551" t="s">
        <v>1549</v>
      </c>
      <c r="H25" s="551" t="s">
        <v>100</v>
      </c>
      <c r="I25" s="551" t="s">
        <v>2038</v>
      </c>
      <c r="J25" s="551" t="s">
        <v>2037</v>
      </c>
      <c r="K25" s="551" t="s">
        <v>203</v>
      </c>
      <c r="L25" s="551" t="s">
        <v>100</v>
      </c>
      <c r="M25" s="551" t="s">
        <v>100</v>
      </c>
    </row>
    <row r="26" spans="1:13" ht="15">
      <c r="A26" s="551" t="s">
        <v>205</v>
      </c>
      <c r="B26" s="551" t="s">
        <v>206</v>
      </c>
      <c r="C26" s="552">
        <v>0</v>
      </c>
      <c r="D26" s="552">
        <v>77617.52</v>
      </c>
      <c r="E26" s="551" t="s">
        <v>156</v>
      </c>
      <c r="F26" s="551" t="s">
        <v>100</v>
      </c>
      <c r="G26" s="551" t="s">
        <v>1549</v>
      </c>
      <c r="H26" s="551" t="s">
        <v>100</v>
      </c>
      <c r="I26" s="551" t="s">
        <v>2038</v>
      </c>
      <c r="J26" s="551" t="s">
        <v>2037</v>
      </c>
      <c r="K26" s="551" t="s">
        <v>205</v>
      </c>
      <c r="L26" s="551" t="s">
        <v>100</v>
      </c>
      <c r="M26" s="551" t="s">
        <v>100</v>
      </c>
    </row>
    <row r="27" spans="1:13" ht="15">
      <c r="A27" s="551" t="s">
        <v>207</v>
      </c>
      <c r="B27" s="551" t="s">
        <v>208</v>
      </c>
      <c r="C27" s="552">
        <v>0</v>
      </c>
      <c r="D27" s="552">
        <v>102162.63</v>
      </c>
      <c r="E27" s="551" t="s">
        <v>156</v>
      </c>
      <c r="F27" s="551" t="s">
        <v>100</v>
      </c>
      <c r="G27" s="551" t="s">
        <v>1549</v>
      </c>
      <c r="H27" s="551" t="s">
        <v>100</v>
      </c>
      <c r="I27" s="551" t="s">
        <v>2038</v>
      </c>
      <c r="J27" s="551" t="s">
        <v>2037</v>
      </c>
      <c r="K27" s="551" t="s">
        <v>207</v>
      </c>
      <c r="L27" s="551" t="s">
        <v>100</v>
      </c>
      <c r="M27" s="551" t="s">
        <v>100</v>
      </c>
    </row>
    <row r="28" spans="1:13" ht="15">
      <c r="A28" s="551" t="s">
        <v>209</v>
      </c>
      <c r="B28" s="551" t="s">
        <v>210</v>
      </c>
      <c r="C28" s="552">
        <v>3373.75</v>
      </c>
      <c r="D28" s="552">
        <v>89358.68</v>
      </c>
      <c r="E28" s="551" t="s">
        <v>156</v>
      </c>
      <c r="F28" s="551" t="s">
        <v>100</v>
      </c>
      <c r="G28" s="551" t="s">
        <v>1549</v>
      </c>
      <c r="H28" s="551" t="s">
        <v>100</v>
      </c>
      <c r="I28" s="551" t="s">
        <v>2038</v>
      </c>
      <c r="J28" s="551" t="s">
        <v>2037</v>
      </c>
      <c r="K28" s="551" t="s">
        <v>209</v>
      </c>
      <c r="L28" s="551" t="s">
        <v>100</v>
      </c>
      <c r="M28" s="551" t="s">
        <v>100</v>
      </c>
    </row>
    <row r="29" spans="1:13" ht="15">
      <c r="A29" s="551" t="s">
        <v>211</v>
      </c>
      <c r="B29" s="551" t="s">
        <v>212</v>
      </c>
      <c r="C29" s="552">
        <v>0</v>
      </c>
      <c r="D29" s="552">
        <v>1024.6500000000001</v>
      </c>
      <c r="E29" s="551" t="s">
        <v>156</v>
      </c>
      <c r="F29" s="551" t="s">
        <v>100</v>
      </c>
      <c r="G29" s="551" t="s">
        <v>1549</v>
      </c>
      <c r="H29" s="551" t="s">
        <v>100</v>
      </c>
      <c r="I29" s="551" t="s">
        <v>2036</v>
      </c>
      <c r="J29" s="551" t="s">
        <v>2037</v>
      </c>
      <c r="K29" s="551" t="s">
        <v>211</v>
      </c>
      <c r="L29" s="551" t="s">
        <v>100</v>
      </c>
      <c r="M29" s="551" t="s">
        <v>100</v>
      </c>
    </row>
    <row r="30" spans="1:13" ht="15">
      <c r="A30" s="551" t="s">
        <v>213</v>
      </c>
      <c r="B30" s="551" t="s">
        <v>214</v>
      </c>
      <c r="C30" s="552">
        <v>16.04</v>
      </c>
      <c r="D30" s="552">
        <v>1254.4000000000001</v>
      </c>
      <c r="E30" s="551" t="s">
        <v>156</v>
      </c>
      <c r="F30" s="551" t="s">
        <v>100</v>
      </c>
      <c r="G30" s="551" t="s">
        <v>1549</v>
      </c>
      <c r="H30" s="551" t="s">
        <v>100</v>
      </c>
      <c r="I30" s="551" t="s">
        <v>2035</v>
      </c>
      <c r="J30" s="551" t="s">
        <v>100</v>
      </c>
      <c r="K30" s="551" t="s">
        <v>213</v>
      </c>
      <c r="L30" s="551" t="s">
        <v>100</v>
      </c>
      <c r="M30" s="551" t="s">
        <v>100</v>
      </c>
    </row>
    <row r="31" spans="1:13" ht="15">
      <c r="A31" s="551" t="s">
        <v>215</v>
      </c>
      <c r="B31" s="551" t="s">
        <v>216</v>
      </c>
      <c r="C31" s="552">
        <v>0</v>
      </c>
      <c r="D31" s="552">
        <v>0</v>
      </c>
      <c r="E31" s="551" t="s">
        <v>156</v>
      </c>
      <c r="F31" s="551" t="s">
        <v>100</v>
      </c>
      <c r="G31" s="551" t="s">
        <v>1549</v>
      </c>
      <c r="H31" s="551" t="s">
        <v>100</v>
      </c>
      <c r="I31" s="551" t="s">
        <v>2035</v>
      </c>
      <c r="J31" s="551" t="s">
        <v>100</v>
      </c>
      <c r="K31" s="551" t="s">
        <v>100</v>
      </c>
      <c r="L31" s="551" t="s">
        <v>100</v>
      </c>
      <c r="M31" s="551" t="s">
        <v>100</v>
      </c>
    </row>
    <row r="32" spans="1:13" ht="15">
      <c r="A32" s="551" t="s">
        <v>217</v>
      </c>
      <c r="B32" s="551" t="s">
        <v>218</v>
      </c>
      <c r="C32" s="552">
        <v>0</v>
      </c>
      <c r="D32" s="552">
        <v>3420.07</v>
      </c>
      <c r="E32" s="551" t="s">
        <v>156</v>
      </c>
      <c r="F32" s="551" t="s">
        <v>100</v>
      </c>
      <c r="G32" s="551" t="s">
        <v>1549</v>
      </c>
      <c r="H32" s="551" t="s">
        <v>100</v>
      </c>
      <c r="I32" s="551" t="s">
        <v>2035</v>
      </c>
      <c r="J32" s="551" t="s">
        <v>100</v>
      </c>
      <c r="K32" s="551" t="s">
        <v>100</v>
      </c>
      <c r="L32" s="551" t="s">
        <v>100</v>
      </c>
      <c r="M32" s="551" t="s">
        <v>100</v>
      </c>
    </row>
    <row r="33" spans="1:13" ht="15">
      <c r="A33" s="551" t="s">
        <v>219</v>
      </c>
      <c r="B33" s="551" t="s">
        <v>220</v>
      </c>
      <c r="C33" s="552">
        <v>278</v>
      </c>
      <c r="D33" s="552">
        <v>33003.980000000003</v>
      </c>
      <c r="E33" s="551" t="s">
        <v>156</v>
      </c>
      <c r="F33" s="551" t="s">
        <v>100</v>
      </c>
      <c r="G33" s="551" t="s">
        <v>1549</v>
      </c>
      <c r="H33" s="551" t="s">
        <v>100</v>
      </c>
      <c r="I33" s="551" t="s">
        <v>2035</v>
      </c>
      <c r="J33" s="551" t="s">
        <v>2037</v>
      </c>
      <c r="K33" s="551" t="s">
        <v>219</v>
      </c>
      <c r="L33" s="551" t="s">
        <v>100</v>
      </c>
      <c r="M33" s="551" t="s">
        <v>100</v>
      </c>
    </row>
    <row r="34" spans="1:13" ht="15">
      <c r="A34" s="551" t="s">
        <v>221</v>
      </c>
      <c r="B34" s="551" t="s">
        <v>222</v>
      </c>
      <c r="C34" s="552">
        <v>3667.79</v>
      </c>
      <c r="D34" s="552">
        <v>-114211.85</v>
      </c>
      <c r="E34" s="551" t="s">
        <v>156</v>
      </c>
      <c r="F34" s="551" t="s">
        <v>100</v>
      </c>
      <c r="G34" s="551" t="s">
        <v>1550</v>
      </c>
      <c r="H34" s="551" t="s">
        <v>223</v>
      </c>
      <c r="I34" s="551" t="s">
        <v>2035</v>
      </c>
      <c r="J34" s="551" t="s">
        <v>100</v>
      </c>
      <c r="K34" s="551" t="s">
        <v>100</v>
      </c>
      <c r="L34" s="551" t="s">
        <v>100</v>
      </c>
      <c r="M34" s="551" t="s">
        <v>100</v>
      </c>
    </row>
    <row r="35" spans="1:13" ht="15">
      <c r="A35" s="551" t="s">
        <v>224</v>
      </c>
      <c r="B35" s="551" t="s">
        <v>225</v>
      </c>
      <c r="C35" s="552">
        <v>0</v>
      </c>
      <c r="D35" s="552">
        <v>0</v>
      </c>
      <c r="E35" s="551" t="s">
        <v>156</v>
      </c>
      <c r="F35" s="551" t="s">
        <v>100</v>
      </c>
      <c r="G35" s="551" t="s">
        <v>1548</v>
      </c>
      <c r="H35" s="551" t="s">
        <v>100</v>
      </c>
      <c r="I35" s="551" t="s">
        <v>2035</v>
      </c>
      <c r="J35" s="551" t="s">
        <v>100</v>
      </c>
      <c r="K35" s="551" t="s">
        <v>100</v>
      </c>
      <c r="L35" s="551" t="s">
        <v>100</v>
      </c>
      <c r="M35" s="551" t="s">
        <v>100</v>
      </c>
    </row>
    <row r="36" spans="1:13" ht="15">
      <c r="A36" s="551" t="s">
        <v>226</v>
      </c>
      <c r="B36" s="551" t="s">
        <v>227</v>
      </c>
      <c r="C36" s="552">
        <v>0</v>
      </c>
      <c r="D36" s="552">
        <v>-2584000</v>
      </c>
      <c r="E36" s="551" t="s">
        <v>156</v>
      </c>
      <c r="F36" s="551" t="s">
        <v>100</v>
      </c>
      <c r="G36" s="551" t="s">
        <v>1549</v>
      </c>
      <c r="H36" s="551" t="s">
        <v>100</v>
      </c>
      <c r="I36" s="551" t="s">
        <v>2036</v>
      </c>
      <c r="J36" s="551" t="s">
        <v>2037</v>
      </c>
      <c r="K36" s="551" t="s">
        <v>226</v>
      </c>
      <c r="L36" s="551" t="s">
        <v>100</v>
      </c>
      <c r="M36" s="551" t="s">
        <v>100</v>
      </c>
    </row>
    <row r="37" spans="1:13" ht="15">
      <c r="A37" s="551" t="s">
        <v>228</v>
      </c>
      <c r="B37" s="551" t="s">
        <v>229</v>
      </c>
      <c r="C37" s="552">
        <v>0</v>
      </c>
      <c r="D37" s="552">
        <v>151243.75</v>
      </c>
      <c r="E37" s="551" t="s">
        <v>156</v>
      </c>
      <c r="F37" s="551" t="s">
        <v>100</v>
      </c>
      <c r="G37" s="551" t="s">
        <v>1549</v>
      </c>
      <c r="H37" s="551" t="s">
        <v>100</v>
      </c>
      <c r="I37" s="551" t="s">
        <v>2038</v>
      </c>
      <c r="J37" s="551" t="s">
        <v>2037</v>
      </c>
      <c r="K37" s="551" t="s">
        <v>228</v>
      </c>
      <c r="L37" s="551" t="s">
        <v>100</v>
      </c>
      <c r="M37" s="551" t="s">
        <v>100</v>
      </c>
    </row>
    <row r="38" spans="1:13" ht="15">
      <c r="A38" s="551" t="s">
        <v>230</v>
      </c>
      <c r="B38" s="551" t="s">
        <v>1555</v>
      </c>
      <c r="C38" s="552">
        <v>0</v>
      </c>
      <c r="D38" s="552">
        <v>83608.789999999994</v>
      </c>
      <c r="E38" s="551" t="s">
        <v>156</v>
      </c>
      <c r="F38" s="551" t="s">
        <v>100</v>
      </c>
      <c r="G38" s="551" t="s">
        <v>1549</v>
      </c>
      <c r="H38" s="551" t="s">
        <v>100</v>
      </c>
      <c r="I38" s="551" t="s">
        <v>2038</v>
      </c>
      <c r="J38" s="551" t="s">
        <v>2037</v>
      </c>
      <c r="K38" s="551" t="s">
        <v>230</v>
      </c>
      <c r="L38" s="551" t="s">
        <v>100</v>
      </c>
      <c r="M38" s="551" t="s">
        <v>100</v>
      </c>
    </row>
    <row r="39" spans="1:13" ht="15">
      <c r="A39" s="551" t="s">
        <v>232</v>
      </c>
      <c r="B39" s="551" t="s">
        <v>233</v>
      </c>
      <c r="C39" s="552">
        <v>0</v>
      </c>
      <c r="D39" s="552">
        <v>252373.08</v>
      </c>
      <c r="E39" s="551" t="s">
        <v>156</v>
      </c>
      <c r="F39" s="551" t="s">
        <v>100</v>
      </c>
      <c r="G39" s="551" t="s">
        <v>1549</v>
      </c>
      <c r="H39" s="551" t="s">
        <v>100</v>
      </c>
      <c r="I39" s="551" t="s">
        <v>2038</v>
      </c>
      <c r="J39" s="551" t="s">
        <v>2037</v>
      </c>
      <c r="K39" s="551" t="s">
        <v>232</v>
      </c>
      <c r="L39" s="551" t="s">
        <v>100</v>
      </c>
      <c r="M39" s="551" t="s">
        <v>100</v>
      </c>
    </row>
    <row r="40" spans="1:13" ht="15">
      <c r="A40" s="551" t="s">
        <v>234</v>
      </c>
      <c r="B40" s="551" t="s">
        <v>235</v>
      </c>
      <c r="C40" s="552">
        <v>0</v>
      </c>
      <c r="D40" s="552">
        <v>-17624.5</v>
      </c>
      <c r="E40" s="551" t="s">
        <v>156</v>
      </c>
      <c r="F40" s="551" t="s">
        <v>100</v>
      </c>
      <c r="G40" s="551" t="s">
        <v>1549</v>
      </c>
      <c r="H40" s="551" t="s">
        <v>100</v>
      </c>
      <c r="I40" s="551" t="s">
        <v>2038</v>
      </c>
      <c r="J40" s="551" t="s">
        <v>2037</v>
      </c>
      <c r="K40" s="551" t="s">
        <v>234</v>
      </c>
      <c r="L40" s="551" t="s">
        <v>100</v>
      </c>
      <c r="M40" s="551" t="s">
        <v>100</v>
      </c>
    </row>
    <row r="41" spans="1:13" ht="15">
      <c r="A41" s="551" t="s">
        <v>236</v>
      </c>
      <c r="B41" s="551" t="s">
        <v>237</v>
      </c>
      <c r="C41" s="552">
        <v>0</v>
      </c>
      <c r="D41" s="552">
        <v>5000</v>
      </c>
      <c r="E41" s="551" t="s">
        <v>156</v>
      </c>
      <c r="F41" s="551" t="s">
        <v>100</v>
      </c>
      <c r="G41" s="551" t="s">
        <v>1549</v>
      </c>
      <c r="H41" s="551" t="s">
        <v>100</v>
      </c>
      <c r="I41" s="551" t="s">
        <v>2038</v>
      </c>
      <c r="J41" s="551" t="s">
        <v>2037</v>
      </c>
      <c r="K41" s="551" t="s">
        <v>236</v>
      </c>
      <c r="L41" s="551" t="s">
        <v>100</v>
      </c>
      <c r="M41" s="551" t="s">
        <v>100</v>
      </c>
    </row>
    <row r="42" spans="1:13" ht="15">
      <c r="A42" s="551" t="s">
        <v>238</v>
      </c>
      <c r="B42" s="551" t="s">
        <v>239</v>
      </c>
      <c r="C42" s="552">
        <v>0</v>
      </c>
      <c r="D42" s="552">
        <v>2012954.9</v>
      </c>
      <c r="E42" s="551" t="s">
        <v>156</v>
      </c>
      <c r="F42" s="551" t="s">
        <v>100</v>
      </c>
      <c r="G42" s="551" t="s">
        <v>1549</v>
      </c>
      <c r="H42" s="551" t="s">
        <v>100</v>
      </c>
      <c r="I42" s="551" t="s">
        <v>2038</v>
      </c>
      <c r="J42" s="551" t="s">
        <v>2037</v>
      </c>
      <c r="K42" s="551" t="s">
        <v>238</v>
      </c>
      <c r="L42" s="551" t="s">
        <v>100</v>
      </c>
      <c r="M42" s="551" t="s">
        <v>100</v>
      </c>
    </row>
    <row r="43" spans="1:13" ht="15">
      <c r="A43" s="551" t="s">
        <v>240</v>
      </c>
      <c r="B43" s="551" t="s">
        <v>241</v>
      </c>
      <c r="C43" s="552">
        <v>0</v>
      </c>
      <c r="D43" s="552">
        <v>-96443.98</v>
      </c>
      <c r="E43" s="551" t="s">
        <v>156</v>
      </c>
      <c r="F43" s="551" t="s">
        <v>100</v>
      </c>
      <c r="G43" s="551" t="s">
        <v>1550</v>
      </c>
      <c r="H43" s="551" t="s">
        <v>242</v>
      </c>
      <c r="I43" s="551" t="s">
        <v>2035</v>
      </c>
      <c r="J43" s="551" t="s">
        <v>100</v>
      </c>
      <c r="K43" s="551" t="s">
        <v>100</v>
      </c>
      <c r="L43" s="551" t="s">
        <v>100</v>
      </c>
      <c r="M43" s="551" t="s">
        <v>100</v>
      </c>
    </row>
    <row r="44" spans="1:13" ht="15">
      <c r="A44" s="551" t="s">
        <v>243</v>
      </c>
      <c r="B44" s="551" t="s">
        <v>244</v>
      </c>
      <c r="C44" s="552">
        <v>0</v>
      </c>
      <c r="D44" s="552">
        <v>0</v>
      </c>
      <c r="E44" s="551" t="s">
        <v>156</v>
      </c>
      <c r="F44" s="551" t="s">
        <v>100</v>
      </c>
      <c r="G44" s="551" t="s">
        <v>1548</v>
      </c>
      <c r="H44" s="551" t="s">
        <v>100</v>
      </c>
      <c r="I44" s="551" t="s">
        <v>2035</v>
      </c>
      <c r="J44" s="551" t="s">
        <v>100</v>
      </c>
      <c r="K44" s="551" t="s">
        <v>100</v>
      </c>
      <c r="L44" s="551" t="s">
        <v>100</v>
      </c>
      <c r="M44" s="551" t="s">
        <v>100</v>
      </c>
    </row>
    <row r="45" spans="1:13" ht="15">
      <c r="A45" s="551" t="s">
        <v>245</v>
      </c>
      <c r="B45" s="551" t="s">
        <v>246</v>
      </c>
      <c r="C45" s="552">
        <v>0</v>
      </c>
      <c r="D45" s="552">
        <v>-956369.61</v>
      </c>
      <c r="E45" s="551" t="s">
        <v>156</v>
      </c>
      <c r="F45" s="551" t="s">
        <v>100</v>
      </c>
      <c r="G45" s="551" t="s">
        <v>1549</v>
      </c>
      <c r="H45" s="551" t="s">
        <v>100</v>
      </c>
      <c r="I45" s="551" t="s">
        <v>2035</v>
      </c>
      <c r="J45" s="551" t="s">
        <v>100</v>
      </c>
      <c r="K45" s="551" t="s">
        <v>100</v>
      </c>
      <c r="L45" s="551" t="s">
        <v>100</v>
      </c>
      <c r="M45" s="551" t="s">
        <v>100</v>
      </c>
    </row>
    <row r="46" spans="1:13" ht="15">
      <c r="A46" s="551" t="s">
        <v>247</v>
      </c>
      <c r="B46" s="551" t="s">
        <v>248</v>
      </c>
      <c r="C46" s="552">
        <v>0</v>
      </c>
      <c r="D46" s="552">
        <v>-956369.61</v>
      </c>
      <c r="E46" s="551" t="s">
        <v>156</v>
      </c>
      <c r="F46" s="551" t="s">
        <v>100</v>
      </c>
      <c r="G46" s="551" t="s">
        <v>1550</v>
      </c>
      <c r="H46" s="551" t="s">
        <v>249</v>
      </c>
      <c r="I46" s="551" t="s">
        <v>2035</v>
      </c>
      <c r="J46" s="551" t="s">
        <v>100</v>
      </c>
      <c r="K46" s="551" t="s">
        <v>100</v>
      </c>
      <c r="L46" s="551" t="s">
        <v>100</v>
      </c>
      <c r="M46" s="551" t="s">
        <v>100</v>
      </c>
    </row>
    <row r="47" spans="1:13" ht="15">
      <c r="A47" s="551" t="s">
        <v>250</v>
      </c>
      <c r="B47" s="551" t="s">
        <v>251</v>
      </c>
      <c r="C47" s="552">
        <v>3667.79</v>
      </c>
      <c r="D47" s="552">
        <v>-592443.43999999994</v>
      </c>
      <c r="E47" s="551" t="s">
        <v>156</v>
      </c>
      <c r="F47" s="551" t="s">
        <v>100</v>
      </c>
      <c r="G47" s="551" t="s">
        <v>1550</v>
      </c>
      <c r="H47" s="551" t="s">
        <v>252</v>
      </c>
      <c r="I47" s="551" t="s">
        <v>2035</v>
      </c>
      <c r="J47" s="551" t="s">
        <v>100</v>
      </c>
      <c r="K47" s="551" t="s">
        <v>100</v>
      </c>
      <c r="L47" s="551" t="s">
        <v>100</v>
      </c>
      <c r="M47" s="551" t="s">
        <v>100</v>
      </c>
    </row>
    <row r="48" spans="1:13" ht="15">
      <c r="A48" s="551" t="s">
        <v>253</v>
      </c>
      <c r="B48" s="551" t="s">
        <v>254</v>
      </c>
      <c r="C48" s="552">
        <v>0</v>
      </c>
      <c r="D48" s="552">
        <v>0</v>
      </c>
      <c r="E48" s="551" t="s">
        <v>156</v>
      </c>
      <c r="F48" s="551" t="s">
        <v>100</v>
      </c>
      <c r="G48" s="551" t="s">
        <v>1548</v>
      </c>
      <c r="H48" s="551" t="s">
        <v>100</v>
      </c>
      <c r="I48" s="551" t="s">
        <v>2035</v>
      </c>
      <c r="J48" s="551" t="s">
        <v>100</v>
      </c>
      <c r="K48" s="551" t="s">
        <v>100</v>
      </c>
      <c r="L48" s="551" t="s">
        <v>100</v>
      </c>
      <c r="M48" s="551" t="s">
        <v>100</v>
      </c>
    </row>
    <row r="49" spans="1:13" ht="15">
      <c r="A49" s="551" t="s">
        <v>255</v>
      </c>
      <c r="B49" s="551" t="s">
        <v>256</v>
      </c>
      <c r="C49" s="552">
        <v>0</v>
      </c>
      <c r="D49" s="552">
        <v>0</v>
      </c>
      <c r="E49" s="551" t="s">
        <v>156</v>
      </c>
      <c r="F49" s="551" t="s">
        <v>100</v>
      </c>
      <c r="G49" s="551" t="s">
        <v>1549</v>
      </c>
      <c r="H49" s="551" t="s">
        <v>100</v>
      </c>
      <c r="I49" s="551" t="s">
        <v>2035</v>
      </c>
      <c r="J49" s="551" t="s">
        <v>100</v>
      </c>
      <c r="K49" s="551" t="s">
        <v>100</v>
      </c>
      <c r="L49" s="551" t="s">
        <v>100</v>
      </c>
      <c r="M49" s="551" t="s">
        <v>100</v>
      </c>
    </row>
    <row r="50" spans="1:13" ht="15">
      <c r="A50" s="551" t="s">
        <v>257</v>
      </c>
      <c r="B50" s="551" t="s">
        <v>258</v>
      </c>
      <c r="C50" s="552">
        <v>0</v>
      </c>
      <c r="D50" s="552">
        <v>0</v>
      </c>
      <c r="E50" s="551" t="s">
        <v>156</v>
      </c>
      <c r="F50" s="551" t="s">
        <v>100</v>
      </c>
      <c r="G50" s="551" t="s">
        <v>1549</v>
      </c>
      <c r="H50" s="551" t="s">
        <v>100</v>
      </c>
      <c r="I50" s="551" t="s">
        <v>2036</v>
      </c>
      <c r="J50" s="551" t="s">
        <v>2037</v>
      </c>
      <c r="K50" s="551" t="s">
        <v>1426</v>
      </c>
      <c r="L50" s="551" t="s">
        <v>100</v>
      </c>
      <c r="M50" s="551" t="s">
        <v>100</v>
      </c>
    </row>
    <row r="51" spans="1:13" ht="15">
      <c r="A51" s="551" t="s">
        <v>259</v>
      </c>
      <c r="B51" s="551" t="s">
        <v>260</v>
      </c>
      <c r="C51" s="552">
        <v>5459.68</v>
      </c>
      <c r="D51" s="552">
        <v>5459.68</v>
      </c>
      <c r="E51" s="551" t="s">
        <v>156</v>
      </c>
      <c r="F51" s="551" t="s">
        <v>100</v>
      </c>
      <c r="G51" s="551" t="s">
        <v>1549</v>
      </c>
      <c r="H51" s="551" t="s">
        <v>100</v>
      </c>
      <c r="I51" s="551" t="s">
        <v>2035</v>
      </c>
      <c r="J51" s="551" t="s">
        <v>100</v>
      </c>
      <c r="K51" s="551" t="s">
        <v>100</v>
      </c>
      <c r="L51" s="551" t="s">
        <v>100</v>
      </c>
      <c r="M51" s="551" t="s">
        <v>100</v>
      </c>
    </row>
    <row r="52" spans="1:13" ht="15">
      <c r="A52" s="551" t="s">
        <v>261</v>
      </c>
      <c r="B52" s="551" t="s">
        <v>262</v>
      </c>
      <c r="C52" s="552">
        <v>0</v>
      </c>
      <c r="D52" s="552">
        <v>0</v>
      </c>
      <c r="E52" s="551" t="s">
        <v>156</v>
      </c>
      <c r="F52" s="551" t="s">
        <v>100</v>
      </c>
      <c r="G52" s="551" t="s">
        <v>1549</v>
      </c>
      <c r="H52" s="551" t="s">
        <v>100</v>
      </c>
      <c r="I52" s="551" t="s">
        <v>2035</v>
      </c>
      <c r="J52" s="551" t="s">
        <v>100</v>
      </c>
      <c r="K52" s="551" t="s">
        <v>100</v>
      </c>
      <c r="L52" s="551" t="s">
        <v>100</v>
      </c>
      <c r="M52" s="551" t="s">
        <v>100</v>
      </c>
    </row>
    <row r="53" spans="1:13" ht="15">
      <c r="A53" s="551" t="s">
        <v>263</v>
      </c>
      <c r="B53" s="551" t="s">
        <v>264</v>
      </c>
      <c r="C53" s="552">
        <v>0</v>
      </c>
      <c r="D53" s="552">
        <v>0</v>
      </c>
      <c r="E53" s="551" t="s">
        <v>156</v>
      </c>
      <c r="F53" s="551" t="s">
        <v>100</v>
      </c>
      <c r="G53" s="551" t="s">
        <v>1549</v>
      </c>
      <c r="H53" s="551" t="s">
        <v>100</v>
      </c>
      <c r="I53" s="551" t="s">
        <v>2036</v>
      </c>
      <c r="J53" s="551" t="s">
        <v>2037</v>
      </c>
      <c r="K53" s="551" t="s">
        <v>1430</v>
      </c>
      <c r="L53" s="551" t="s">
        <v>100</v>
      </c>
      <c r="M53" s="551" t="s">
        <v>100</v>
      </c>
    </row>
    <row r="54" spans="1:13" ht="15">
      <c r="A54" s="551" t="s">
        <v>265</v>
      </c>
      <c r="B54" s="551" t="s">
        <v>266</v>
      </c>
      <c r="C54" s="552">
        <v>7250.79</v>
      </c>
      <c r="D54" s="552">
        <v>30219.83</v>
      </c>
      <c r="E54" s="551" t="s">
        <v>156</v>
      </c>
      <c r="F54" s="551" t="s">
        <v>100</v>
      </c>
      <c r="G54" s="551" t="s">
        <v>1549</v>
      </c>
      <c r="H54" s="551" t="s">
        <v>100</v>
      </c>
      <c r="I54" s="551" t="s">
        <v>2035</v>
      </c>
      <c r="J54" s="551" t="s">
        <v>100</v>
      </c>
      <c r="K54" s="551" t="s">
        <v>100</v>
      </c>
      <c r="L54" s="551" t="s">
        <v>100</v>
      </c>
      <c r="M54" s="551" t="s">
        <v>100</v>
      </c>
    </row>
    <row r="55" spans="1:13" ht="15">
      <c r="A55" s="551" t="s">
        <v>267</v>
      </c>
      <c r="B55" s="551" t="s">
        <v>268</v>
      </c>
      <c r="C55" s="552">
        <v>0</v>
      </c>
      <c r="D55" s="552">
        <v>-30000</v>
      </c>
      <c r="E55" s="551" t="s">
        <v>156</v>
      </c>
      <c r="F55" s="551" t="s">
        <v>100</v>
      </c>
      <c r="G55" s="551" t="s">
        <v>1549</v>
      </c>
      <c r="H55" s="551" t="s">
        <v>100</v>
      </c>
      <c r="I55" s="551" t="s">
        <v>2036</v>
      </c>
      <c r="J55" s="551" t="s">
        <v>2037</v>
      </c>
      <c r="K55" s="551" t="s">
        <v>267</v>
      </c>
      <c r="L55" s="551" t="s">
        <v>100</v>
      </c>
      <c r="M55" s="551" t="s">
        <v>100</v>
      </c>
    </row>
    <row r="56" spans="1:13" ht="15">
      <c r="A56" s="551" t="s">
        <v>269</v>
      </c>
      <c r="B56" s="551" t="s">
        <v>270</v>
      </c>
      <c r="C56" s="552">
        <v>-10099.200000000001</v>
      </c>
      <c r="D56" s="552">
        <v>-43763.199999999997</v>
      </c>
      <c r="E56" s="551" t="s">
        <v>156</v>
      </c>
      <c r="F56" s="551" t="s">
        <v>100</v>
      </c>
      <c r="G56" s="551" t="s">
        <v>1549</v>
      </c>
      <c r="H56" s="551" t="s">
        <v>100</v>
      </c>
      <c r="I56" s="551" t="s">
        <v>2035</v>
      </c>
      <c r="J56" s="551" t="s">
        <v>100</v>
      </c>
      <c r="K56" s="551" t="s">
        <v>100</v>
      </c>
      <c r="L56" s="551" t="s">
        <v>100</v>
      </c>
      <c r="M56" s="551" t="s">
        <v>100</v>
      </c>
    </row>
    <row r="57" spans="1:13" ht="15">
      <c r="A57" s="551" t="s">
        <v>271</v>
      </c>
      <c r="B57" s="551" t="s">
        <v>272</v>
      </c>
      <c r="C57" s="552">
        <v>0</v>
      </c>
      <c r="D57" s="552">
        <v>0</v>
      </c>
      <c r="E57" s="551" t="s">
        <v>156</v>
      </c>
      <c r="F57" s="551" t="s">
        <v>100</v>
      </c>
      <c r="G57" s="551" t="s">
        <v>1549</v>
      </c>
      <c r="H57" s="551" t="s">
        <v>100</v>
      </c>
      <c r="I57" s="551" t="s">
        <v>2035</v>
      </c>
      <c r="J57" s="551" t="s">
        <v>100</v>
      </c>
      <c r="K57" s="551" t="s">
        <v>100</v>
      </c>
      <c r="L57" s="551" t="s">
        <v>100</v>
      </c>
      <c r="M57" s="551" t="s">
        <v>100</v>
      </c>
    </row>
    <row r="58" spans="1:13" ht="15">
      <c r="A58" s="551" t="s">
        <v>273</v>
      </c>
      <c r="B58" s="551" t="s">
        <v>274</v>
      </c>
      <c r="C58" s="552">
        <v>3.95</v>
      </c>
      <c r="D58" s="552">
        <v>3.95</v>
      </c>
      <c r="E58" s="551" t="s">
        <v>156</v>
      </c>
      <c r="F58" s="551" t="s">
        <v>100</v>
      </c>
      <c r="G58" s="551" t="s">
        <v>1549</v>
      </c>
      <c r="H58" s="551" t="s">
        <v>100</v>
      </c>
      <c r="I58" s="551" t="s">
        <v>2038</v>
      </c>
      <c r="J58" s="551" t="s">
        <v>2037</v>
      </c>
      <c r="K58" s="551" t="s">
        <v>273</v>
      </c>
      <c r="L58" s="551" t="s">
        <v>100</v>
      </c>
      <c r="M58" s="551" t="s">
        <v>100</v>
      </c>
    </row>
    <row r="59" spans="1:13" ht="15">
      <c r="A59" s="551" t="s">
        <v>275</v>
      </c>
      <c r="B59" s="551" t="s">
        <v>254</v>
      </c>
      <c r="C59" s="552">
        <v>2615.2199999999998</v>
      </c>
      <c r="D59" s="552">
        <v>-38079.74</v>
      </c>
      <c r="E59" s="551" t="s">
        <v>156</v>
      </c>
      <c r="F59" s="551" t="s">
        <v>100</v>
      </c>
      <c r="G59" s="551" t="s">
        <v>1550</v>
      </c>
      <c r="H59" s="551" t="s">
        <v>276</v>
      </c>
      <c r="I59" s="551" t="s">
        <v>2035</v>
      </c>
      <c r="J59" s="551" t="s">
        <v>100</v>
      </c>
      <c r="K59" s="551" t="s">
        <v>100</v>
      </c>
      <c r="L59" s="551" t="s">
        <v>100</v>
      </c>
      <c r="M59" s="551" t="s">
        <v>100</v>
      </c>
    </row>
    <row r="60" spans="1:13" ht="15">
      <c r="A60" s="551" t="s">
        <v>277</v>
      </c>
      <c r="B60" s="551" t="s">
        <v>278</v>
      </c>
      <c r="C60" s="552">
        <v>-2026106.16</v>
      </c>
      <c r="D60" s="552">
        <v>-19674855.989999998</v>
      </c>
      <c r="E60" s="551" t="s">
        <v>156</v>
      </c>
      <c r="F60" s="551" t="s">
        <v>100</v>
      </c>
      <c r="G60" s="551" t="s">
        <v>1550</v>
      </c>
      <c r="H60" s="551" t="s">
        <v>279</v>
      </c>
      <c r="I60" s="551" t="s">
        <v>2035</v>
      </c>
      <c r="J60" s="551" t="s">
        <v>100</v>
      </c>
      <c r="K60" s="551" t="s">
        <v>100</v>
      </c>
      <c r="L60" s="551" t="s">
        <v>100</v>
      </c>
      <c r="M60" s="551" t="s">
        <v>100</v>
      </c>
    </row>
    <row r="61" spans="1:13" ht="15">
      <c r="A61" s="551" t="s">
        <v>280</v>
      </c>
      <c r="B61" s="551" t="s">
        <v>281</v>
      </c>
      <c r="C61" s="552">
        <v>0</v>
      </c>
      <c r="D61" s="552">
        <v>0</v>
      </c>
      <c r="E61" s="551" t="s">
        <v>156</v>
      </c>
      <c r="F61" s="551" t="s">
        <v>100</v>
      </c>
      <c r="G61" s="551" t="s">
        <v>1548</v>
      </c>
      <c r="H61" s="551" t="s">
        <v>100</v>
      </c>
      <c r="I61" s="551" t="s">
        <v>2035</v>
      </c>
      <c r="J61" s="551" t="s">
        <v>100</v>
      </c>
      <c r="K61" s="551" t="s">
        <v>100</v>
      </c>
      <c r="L61" s="551" t="s">
        <v>100</v>
      </c>
      <c r="M61" s="551" t="s">
        <v>100</v>
      </c>
    </row>
    <row r="62" spans="1:13" ht="15">
      <c r="A62" s="551" t="s">
        <v>282</v>
      </c>
      <c r="B62" s="551" t="s">
        <v>281</v>
      </c>
      <c r="C62" s="552">
        <v>0</v>
      </c>
      <c r="D62" s="552">
        <v>0</v>
      </c>
      <c r="E62" s="551" t="s">
        <v>156</v>
      </c>
      <c r="F62" s="551" t="s">
        <v>100</v>
      </c>
      <c r="G62" s="551" t="s">
        <v>1548</v>
      </c>
      <c r="H62" s="551" t="s">
        <v>100</v>
      </c>
      <c r="I62" s="551" t="s">
        <v>2035</v>
      </c>
      <c r="J62" s="551" t="s">
        <v>100</v>
      </c>
      <c r="K62" s="551" t="s">
        <v>100</v>
      </c>
      <c r="L62" s="551" t="s">
        <v>100</v>
      </c>
      <c r="M62" s="551" t="s">
        <v>100</v>
      </c>
    </row>
    <row r="63" spans="1:13" ht="15">
      <c r="A63" s="551" t="s">
        <v>283</v>
      </c>
      <c r="B63" s="551" t="s">
        <v>284</v>
      </c>
      <c r="C63" s="552">
        <v>0</v>
      </c>
      <c r="D63" s="552">
        <v>0</v>
      </c>
      <c r="E63" s="551" t="s">
        <v>156</v>
      </c>
      <c r="F63" s="551" t="s">
        <v>100</v>
      </c>
      <c r="G63" s="551" t="s">
        <v>1548</v>
      </c>
      <c r="H63" s="551" t="s">
        <v>100</v>
      </c>
      <c r="I63" s="551" t="s">
        <v>2035</v>
      </c>
      <c r="J63" s="551" t="s">
        <v>100</v>
      </c>
      <c r="K63" s="551" t="s">
        <v>100</v>
      </c>
      <c r="L63" s="551" t="s">
        <v>100</v>
      </c>
      <c r="M63" s="551" t="s">
        <v>100</v>
      </c>
    </row>
    <row r="64" spans="1:13" ht="15">
      <c r="A64" s="551" t="s">
        <v>285</v>
      </c>
      <c r="B64" s="551" t="s">
        <v>286</v>
      </c>
      <c r="C64" s="552">
        <v>0</v>
      </c>
      <c r="D64" s="552">
        <v>0</v>
      </c>
      <c r="E64" s="551" t="s">
        <v>156</v>
      </c>
      <c r="F64" s="551" t="s">
        <v>100</v>
      </c>
      <c r="G64" s="551" t="s">
        <v>1548</v>
      </c>
      <c r="H64" s="551" t="s">
        <v>100</v>
      </c>
      <c r="I64" s="551" t="s">
        <v>2035</v>
      </c>
      <c r="J64" s="551" t="s">
        <v>100</v>
      </c>
      <c r="K64" s="551" t="s">
        <v>100</v>
      </c>
      <c r="L64" s="551" t="s">
        <v>100</v>
      </c>
      <c r="M64" s="551" t="s">
        <v>100</v>
      </c>
    </row>
    <row r="65" spans="1:13" ht="15">
      <c r="A65" s="551" t="s">
        <v>287</v>
      </c>
      <c r="B65" s="551" t="s">
        <v>288</v>
      </c>
      <c r="C65" s="552">
        <v>2298527.48</v>
      </c>
      <c r="D65" s="552">
        <v>11251448.310000001</v>
      </c>
      <c r="E65" s="551" t="s">
        <v>156</v>
      </c>
      <c r="F65" s="551" t="s">
        <v>100</v>
      </c>
      <c r="G65" s="551" t="s">
        <v>1549</v>
      </c>
      <c r="H65" s="551" t="s">
        <v>100</v>
      </c>
      <c r="I65" s="551" t="s">
        <v>2035</v>
      </c>
      <c r="J65" s="551" t="s">
        <v>100</v>
      </c>
      <c r="K65" s="551" t="s">
        <v>100</v>
      </c>
      <c r="L65" s="551" t="s">
        <v>100</v>
      </c>
      <c r="M65" s="551" t="s">
        <v>100</v>
      </c>
    </row>
    <row r="66" spans="1:13" ht="15">
      <c r="A66" s="551" t="s">
        <v>289</v>
      </c>
      <c r="B66" s="551" t="s">
        <v>1557</v>
      </c>
      <c r="C66" s="552">
        <v>0</v>
      </c>
      <c r="D66" s="552">
        <v>141023.88</v>
      </c>
      <c r="E66" s="551" t="s">
        <v>156</v>
      </c>
      <c r="F66" s="551" t="s">
        <v>100</v>
      </c>
      <c r="G66" s="551" t="s">
        <v>1549</v>
      </c>
      <c r="H66" s="551" t="s">
        <v>100</v>
      </c>
      <c r="I66" s="551" t="s">
        <v>2035</v>
      </c>
      <c r="J66" s="551" t="s">
        <v>100</v>
      </c>
      <c r="K66" s="551" t="s">
        <v>100</v>
      </c>
      <c r="L66" s="551" t="s">
        <v>100</v>
      </c>
      <c r="M66" s="551" t="s">
        <v>100</v>
      </c>
    </row>
    <row r="67" spans="1:13" ht="15">
      <c r="A67" s="551" t="s">
        <v>291</v>
      </c>
      <c r="B67" s="551" t="s">
        <v>292</v>
      </c>
      <c r="C67" s="552">
        <v>0</v>
      </c>
      <c r="D67" s="552">
        <v>0</v>
      </c>
      <c r="E67" s="551" t="s">
        <v>156</v>
      </c>
      <c r="F67" s="551" t="s">
        <v>100</v>
      </c>
      <c r="G67" s="551" t="s">
        <v>1549</v>
      </c>
      <c r="H67" s="551" t="s">
        <v>100</v>
      </c>
      <c r="I67" s="551" t="s">
        <v>2035</v>
      </c>
      <c r="J67" s="551" t="s">
        <v>100</v>
      </c>
      <c r="K67" s="551" t="s">
        <v>100</v>
      </c>
      <c r="L67" s="551" t="s">
        <v>100</v>
      </c>
      <c r="M67" s="551" t="s">
        <v>100</v>
      </c>
    </row>
    <row r="68" spans="1:13" ht="15">
      <c r="A68" s="551" t="s">
        <v>293</v>
      </c>
      <c r="B68" s="551" t="s">
        <v>294</v>
      </c>
      <c r="C68" s="552">
        <v>-8913</v>
      </c>
      <c r="D68" s="552">
        <v>-473324.13</v>
      </c>
      <c r="E68" s="551" t="s">
        <v>156</v>
      </c>
      <c r="F68" s="551" t="s">
        <v>100</v>
      </c>
      <c r="G68" s="551" t="s">
        <v>1549</v>
      </c>
      <c r="H68" s="551" t="s">
        <v>100</v>
      </c>
      <c r="I68" s="551" t="s">
        <v>2035</v>
      </c>
      <c r="J68" s="551" t="s">
        <v>100</v>
      </c>
      <c r="K68" s="551" t="s">
        <v>100</v>
      </c>
      <c r="L68" s="551" t="s">
        <v>100</v>
      </c>
      <c r="M68" s="551" t="s">
        <v>100</v>
      </c>
    </row>
    <row r="69" spans="1:13" ht="15">
      <c r="A69" s="551" t="s">
        <v>295</v>
      </c>
      <c r="B69" s="551" t="s">
        <v>296</v>
      </c>
      <c r="C69" s="552">
        <v>153726.79999999999</v>
      </c>
      <c r="D69" s="552">
        <v>629635.56999999995</v>
      </c>
      <c r="E69" s="551" t="s">
        <v>156</v>
      </c>
      <c r="F69" s="551" t="s">
        <v>100</v>
      </c>
      <c r="G69" s="551" t="s">
        <v>1549</v>
      </c>
      <c r="H69" s="551" t="s">
        <v>100</v>
      </c>
      <c r="I69" s="551" t="s">
        <v>2035</v>
      </c>
      <c r="J69" s="551" t="s">
        <v>100</v>
      </c>
      <c r="K69" s="551" t="s">
        <v>100</v>
      </c>
      <c r="L69" s="551" t="s">
        <v>100</v>
      </c>
      <c r="M69" s="551" t="s">
        <v>100</v>
      </c>
    </row>
    <row r="70" spans="1:13" ht="15">
      <c r="A70" s="551" t="s">
        <v>297</v>
      </c>
      <c r="B70" s="551" t="s">
        <v>298</v>
      </c>
      <c r="C70" s="552">
        <v>281127.27</v>
      </c>
      <c r="D70" s="552">
        <v>1362591.01</v>
      </c>
      <c r="E70" s="551" t="s">
        <v>156</v>
      </c>
      <c r="F70" s="551" t="s">
        <v>100</v>
      </c>
      <c r="G70" s="551" t="s">
        <v>1549</v>
      </c>
      <c r="H70" s="551" t="s">
        <v>100</v>
      </c>
      <c r="I70" s="551" t="s">
        <v>2035</v>
      </c>
      <c r="J70" s="551" t="s">
        <v>100</v>
      </c>
      <c r="K70" s="551" t="s">
        <v>100</v>
      </c>
      <c r="L70" s="551" t="s">
        <v>100</v>
      </c>
      <c r="M70" s="551" t="s">
        <v>100</v>
      </c>
    </row>
    <row r="71" spans="1:13" ht="15">
      <c r="A71" s="551" t="s">
        <v>299</v>
      </c>
      <c r="B71" s="551" t="s">
        <v>300</v>
      </c>
      <c r="C71" s="552">
        <v>3804.66</v>
      </c>
      <c r="D71" s="552">
        <v>130045.97</v>
      </c>
      <c r="E71" s="551" t="s">
        <v>156</v>
      </c>
      <c r="F71" s="551" t="s">
        <v>100</v>
      </c>
      <c r="G71" s="551" t="s">
        <v>1549</v>
      </c>
      <c r="H71" s="551" t="s">
        <v>100</v>
      </c>
      <c r="I71" s="551" t="s">
        <v>2035</v>
      </c>
      <c r="J71" s="551" t="s">
        <v>100</v>
      </c>
      <c r="K71" s="551" t="s">
        <v>100</v>
      </c>
      <c r="L71" s="551" t="s">
        <v>100</v>
      </c>
      <c r="M71" s="551" t="s">
        <v>100</v>
      </c>
    </row>
    <row r="72" spans="1:13" ht="15">
      <c r="A72" s="551" t="s">
        <v>301</v>
      </c>
      <c r="B72" s="551" t="s">
        <v>302</v>
      </c>
      <c r="C72" s="552">
        <v>109864.19</v>
      </c>
      <c r="D72" s="552">
        <v>-99241.29</v>
      </c>
      <c r="E72" s="551" t="s">
        <v>156</v>
      </c>
      <c r="F72" s="551" t="s">
        <v>100</v>
      </c>
      <c r="G72" s="551" t="s">
        <v>1549</v>
      </c>
      <c r="H72" s="551" t="s">
        <v>100</v>
      </c>
      <c r="I72" s="551" t="s">
        <v>2035</v>
      </c>
      <c r="J72" s="551" t="s">
        <v>100</v>
      </c>
      <c r="K72" s="551" t="s">
        <v>100</v>
      </c>
      <c r="L72" s="551" t="s">
        <v>100</v>
      </c>
      <c r="M72" s="551" t="s">
        <v>100</v>
      </c>
    </row>
    <row r="73" spans="1:13" ht="15">
      <c r="A73" s="551" t="s">
        <v>303</v>
      </c>
      <c r="B73" s="551" t="s">
        <v>304</v>
      </c>
      <c r="C73" s="552">
        <v>-374927.46</v>
      </c>
      <c r="D73" s="552">
        <v>-1922390.73</v>
      </c>
      <c r="E73" s="551" t="s">
        <v>156</v>
      </c>
      <c r="F73" s="551" t="s">
        <v>100</v>
      </c>
      <c r="G73" s="551" t="s">
        <v>1549</v>
      </c>
      <c r="H73" s="551" t="s">
        <v>100</v>
      </c>
      <c r="I73" s="551" t="s">
        <v>2035</v>
      </c>
      <c r="J73" s="551" t="s">
        <v>100</v>
      </c>
      <c r="K73" s="551" t="s">
        <v>100</v>
      </c>
      <c r="L73" s="551" t="s">
        <v>100</v>
      </c>
      <c r="M73" s="551" t="s">
        <v>100</v>
      </c>
    </row>
    <row r="74" spans="1:13" ht="15">
      <c r="A74" s="551" t="s">
        <v>305</v>
      </c>
      <c r="B74" s="551" t="s">
        <v>306</v>
      </c>
      <c r="C74" s="552">
        <v>19407.39</v>
      </c>
      <c r="D74" s="552">
        <v>93628.71</v>
      </c>
      <c r="E74" s="551" t="s">
        <v>156</v>
      </c>
      <c r="F74" s="551" t="s">
        <v>100</v>
      </c>
      <c r="G74" s="551" t="s">
        <v>1549</v>
      </c>
      <c r="H74" s="551" t="s">
        <v>100</v>
      </c>
      <c r="I74" s="551" t="s">
        <v>2035</v>
      </c>
      <c r="J74" s="551" t="s">
        <v>100</v>
      </c>
      <c r="K74" s="551" t="s">
        <v>100</v>
      </c>
      <c r="L74" s="551" t="s">
        <v>100</v>
      </c>
      <c r="M74" s="551" t="s">
        <v>100</v>
      </c>
    </row>
    <row r="75" spans="1:13" ht="15">
      <c r="A75" s="551" t="s">
        <v>307</v>
      </c>
      <c r="B75" s="551" t="s">
        <v>308</v>
      </c>
      <c r="C75" s="552">
        <v>-1500</v>
      </c>
      <c r="D75" s="552">
        <v>-9521</v>
      </c>
      <c r="E75" s="551" t="s">
        <v>156</v>
      </c>
      <c r="F75" s="551" t="s">
        <v>100</v>
      </c>
      <c r="G75" s="551" t="s">
        <v>1549</v>
      </c>
      <c r="H75" s="551" t="s">
        <v>100</v>
      </c>
      <c r="I75" s="551" t="s">
        <v>2035</v>
      </c>
      <c r="J75" s="551" t="s">
        <v>100</v>
      </c>
      <c r="K75" s="551" t="s">
        <v>100</v>
      </c>
      <c r="L75" s="551" t="s">
        <v>100</v>
      </c>
      <c r="M75" s="551" t="s">
        <v>100</v>
      </c>
    </row>
    <row r="76" spans="1:13" ht="15">
      <c r="A76" s="551" t="s">
        <v>309</v>
      </c>
      <c r="B76" s="551" t="s">
        <v>1558</v>
      </c>
      <c r="C76" s="552">
        <v>0</v>
      </c>
      <c r="D76" s="552">
        <v>77202.42</v>
      </c>
      <c r="E76" s="551" t="s">
        <v>156</v>
      </c>
      <c r="F76" s="551" t="s">
        <v>100</v>
      </c>
      <c r="G76" s="551" t="s">
        <v>1549</v>
      </c>
      <c r="H76" s="551" t="s">
        <v>100</v>
      </c>
      <c r="I76" s="551" t="s">
        <v>2035</v>
      </c>
      <c r="J76" s="551" t="s">
        <v>100</v>
      </c>
      <c r="K76" s="551" t="s">
        <v>100</v>
      </c>
      <c r="L76" s="551" t="s">
        <v>100</v>
      </c>
      <c r="M76" s="551" t="s">
        <v>100</v>
      </c>
    </row>
    <row r="77" spans="1:13" ht="15">
      <c r="A77" s="551" t="s">
        <v>311</v>
      </c>
      <c r="B77" s="551" t="s">
        <v>312</v>
      </c>
      <c r="C77" s="552">
        <v>2481117.33</v>
      </c>
      <c r="D77" s="552">
        <v>11181098.720000001</v>
      </c>
      <c r="E77" s="551" t="s">
        <v>156</v>
      </c>
      <c r="F77" s="551" t="s">
        <v>100</v>
      </c>
      <c r="G77" s="551" t="s">
        <v>1550</v>
      </c>
      <c r="H77" s="551" t="s">
        <v>313</v>
      </c>
      <c r="I77" s="551" t="s">
        <v>2035</v>
      </c>
      <c r="J77" s="551" t="s">
        <v>100</v>
      </c>
      <c r="K77" s="551" t="s">
        <v>100</v>
      </c>
      <c r="L77" s="551" t="s">
        <v>100</v>
      </c>
      <c r="M77" s="551" t="s">
        <v>100</v>
      </c>
    </row>
    <row r="78" spans="1:13" ht="15">
      <c r="A78" s="551" t="s">
        <v>314</v>
      </c>
      <c r="B78" s="551" t="s">
        <v>315</v>
      </c>
      <c r="C78" s="552">
        <v>0</v>
      </c>
      <c r="D78" s="552">
        <v>0</v>
      </c>
      <c r="E78" s="551" t="s">
        <v>156</v>
      </c>
      <c r="F78" s="551" t="s">
        <v>100</v>
      </c>
      <c r="G78" s="551" t="s">
        <v>1548</v>
      </c>
      <c r="H78" s="551" t="s">
        <v>100</v>
      </c>
      <c r="I78" s="551" t="s">
        <v>2035</v>
      </c>
      <c r="J78" s="551" t="s">
        <v>100</v>
      </c>
      <c r="K78" s="551" t="s">
        <v>100</v>
      </c>
      <c r="L78" s="551" t="s">
        <v>100</v>
      </c>
      <c r="M78" s="551" t="s">
        <v>100</v>
      </c>
    </row>
    <row r="79" spans="1:13" ht="15">
      <c r="A79" s="551" t="s">
        <v>316</v>
      </c>
      <c r="B79" s="551" t="s">
        <v>317</v>
      </c>
      <c r="C79" s="552">
        <v>77791.289999999994</v>
      </c>
      <c r="D79" s="552">
        <v>319549.34999999998</v>
      </c>
      <c r="E79" s="551" t="s">
        <v>156</v>
      </c>
      <c r="F79" s="551" t="s">
        <v>100</v>
      </c>
      <c r="G79" s="551" t="s">
        <v>1549</v>
      </c>
      <c r="H79" s="551" t="s">
        <v>100</v>
      </c>
      <c r="I79" s="551" t="s">
        <v>2035</v>
      </c>
      <c r="J79" s="551" t="s">
        <v>100</v>
      </c>
      <c r="K79" s="551" t="s">
        <v>100</v>
      </c>
      <c r="L79" s="551" t="s">
        <v>100</v>
      </c>
      <c r="M79" s="551" t="s">
        <v>100</v>
      </c>
    </row>
    <row r="80" spans="1:13" ht="15">
      <c r="A80" s="551" t="s">
        <v>318</v>
      </c>
      <c r="B80" s="551" t="s">
        <v>319</v>
      </c>
      <c r="C80" s="552">
        <v>0</v>
      </c>
      <c r="D80" s="552">
        <v>-9674.7999999999993</v>
      </c>
      <c r="E80" s="551" t="s">
        <v>156</v>
      </c>
      <c r="F80" s="551" t="s">
        <v>100</v>
      </c>
      <c r="G80" s="551" t="s">
        <v>1549</v>
      </c>
      <c r="H80" s="551" t="s">
        <v>100</v>
      </c>
      <c r="I80" s="551" t="s">
        <v>2035</v>
      </c>
      <c r="J80" s="551" t="s">
        <v>100</v>
      </c>
      <c r="K80" s="551" t="s">
        <v>100</v>
      </c>
      <c r="L80" s="551" t="s">
        <v>100</v>
      </c>
      <c r="M80" s="551" t="s">
        <v>100</v>
      </c>
    </row>
    <row r="81" spans="1:13" ht="15">
      <c r="A81" s="551" t="s">
        <v>320</v>
      </c>
      <c r="B81" s="551" t="s">
        <v>321</v>
      </c>
      <c r="C81" s="552">
        <v>24530.15</v>
      </c>
      <c r="D81" s="552">
        <v>147479.07999999999</v>
      </c>
      <c r="E81" s="551" t="s">
        <v>156</v>
      </c>
      <c r="F81" s="551" t="s">
        <v>100</v>
      </c>
      <c r="G81" s="551" t="s">
        <v>1549</v>
      </c>
      <c r="H81" s="551" t="s">
        <v>100</v>
      </c>
      <c r="I81" s="551" t="s">
        <v>2038</v>
      </c>
      <c r="J81" s="551" t="s">
        <v>2037</v>
      </c>
      <c r="K81" s="551" t="s">
        <v>320</v>
      </c>
      <c r="L81" s="551" t="s">
        <v>100</v>
      </c>
      <c r="M81" s="551" t="s">
        <v>100</v>
      </c>
    </row>
    <row r="82" spans="1:13" ht="15">
      <c r="A82" s="551" t="s">
        <v>322</v>
      </c>
      <c r="B82" s="551" t="s">
        <v>323</v>
      </c>
      <c r="C82" s="552">
        <v>22350.95</v>
      </c>
      <c r="D82" s="552">
        <v>53074.3</v>
      </c>
      <c r="E82" s="551" t="s">
        <v>156</v>
      </c>
      <c r="F82" s="551" t="s">
        <v>100</v>
      </c>
      <c r="G82" s="551" t="s">
        <v>1549</v>
      </c>
      <c r="H82" s="551" t="s">
        <v>100</v>
      </c>
      <c r="I82" s="551" t="s">
        <v>2038</v>
      </c>
      <c r="J82" s="551" t="s">
        <v>2037</v>
      </c>
      <c r="K82" s="551" t="s">
        <v>322</v>
      </c>
      <c r="L82" s="551" t="s">
        <v>100</v>
      </c>
      <c r="M82" s="551" t="s">
        <v>100</v>
      </c>
    </row>
    <row r="83" spans="1:13" ht="15">
      <c r="A83" s="551" t="s">
        <v>324</v>
      </c>
      <c r="B83" s="551" t="s">
        <v>325</v>
      </c>
      <c r="C83" s="552">
        <v>2220.25</v>
      </c>
      <c r="D83" s="552">
        <v>18749.259999999998</v>
      </c>
      <c r="E83" s="551" t="s">
        <v>156</v>
      </c>
      <c r="F83" s="551" t="s">
        <v>100</v>
      </c>
      <c r="G83" s="551" t="s">
        <v>1549</v>
      </c>
      <c r="H83" s="551" t="s">
        <v>100</v>
      </c>
      <c r="I83" s="551" t="s">
        <v>2038</v>
      </c>
      <c r="J83" s="551" t="s">
        <v>2037</v>
      </c>
      <c r="K83" s="551" t="s">
        <v>324</v>
      </c>
      <c r="L83" s="551" t="s">
        <v>100</v>
      </c>
      <c r="M83" s="551" t="s">
        <v>100</v>
      </c>
    </row>
    <row r="84" spans="1:13" ht="15">
      <c r="A84" s="551" t="s">
        <v>326</v>
      </c>
      <c r="B84" s="551" t="s">
        <v>327</v>
      </c>
      <c r="C84" s="552">
        <v>0</v>
      </c>
      <c r="D84" s="552">
        <v>0</v>
      </c>
      <c r="E84" s="551" t="s">
        <v>156</v>
      </c>
      <c r="F84" s="551" t="s">
        <v>100</v>
      </c>
      <c r="G84" s="551" t="s">
        <v>1549</v>
      </c>
      <c r="H84" s="551" t="s">
        <v>100</v>
      </c>
      <c r="I84" s="551" t="s">
        <v>2035</v>
      </c>
      <c r="J84" s="551" t="s">
        <v>100</v>
      </c>
      <c r="K84" s="551" t="s">
        <v>100</v>
      </c>
      <c r="L84" s="551" t="s">
        <v>100</v>
      </c>
      <c r="M84" s="551" t="s">
        <v>100</v>
      </c>
    </row>
    <row r="85" spans="1:13" ht="15">
      <c r="A85" s="551" t="s">
        <v>328</v>
      </c>
      <c r="B85" s="551" t="s">
        <v>329</v>
      </c>
      <c r="C85" s="552">
        <v>126892.64</v>
      </c>
      <c r="D85" s="552">
        <v>529177.18999999994</v>
      </c>
      <c r="E85" s="551" t="s">
        <v>156</v>
      </c>
      <c r="F85" s="551" t="s">
        <v>100</v>
      </c>
      <c r="G85" s="551" t="s">
        <v>1550</v>
      </c>
      <c r="H85" s="551" t="s">
        <v>330</v>
      </c>
      <c r="I85" s="551" t="s">
        <v>2035</v>
      </c>
      <c r="J85" s="551" t="s">
        <v>100</v>
      </c>
      <c r="K85" s="551" t="s">
        <v>100</v>
      </c>
      <c r="L85" s="551" t="s">
        <v>100</v>
      </c>
      <c r="M85" s="551" t="s">
        <v>100</v>
      </c>
    </row>
    <row r="86" spans="1:13" ht="15">
      <c r="A86" s="551" t="s">
        <v>331</v>
      </c>
      <c r="B86" s="551" t="s">
        <v>332</v>
      </c>
      <c r="C86" s="552">
        <v>0</v>
      </c>
      <c r="D86" s="552">
        <v>0</v>
      </c>
      <c r="E86" s="551" t="s">
        <v>156</v>
      </c>
      <c r="F86" s="551" t="s">
        <v>100</v>
      </c>
      <c r="G86" s="551" t="s">
        <v>1548</v>
      </c>
      <c r="H86" s="551" t="s">
        <v>100</v>
      </c>
      <c r="I86" s="551" t="s">
        <v>2035</v>
      </c>
      <c r="J86" s="551" t="s">
        <v>100</v>
      </c>
      <c r="K86" s="551" t="s">
        <v>100</v>
      </c>
      <c r="L86" s="551" t="s">
        <v>100</v>
      </c>
      <c r="M86" s="551" t="s">
        <v>100</v>
      </c>
    </row>
    <row r="87" spans="1:13" ht="15">
      <c r="A87" s="551" t="s">
        <v>333</v>
      </c>
      <c r="B87" s="551" t="s">
        <v>334</v>
      </c>
      <c r="C87" s="552">
        <v>130192.17</v>
      </c>
      <c r="D87" s="552">
        <v>375513</v>
      </c>
      <c r="E87" s="551" t="s">
        <v>156</v>
      </c>
      <c r="F87" s="551" t="s">
        <v>100</v>
      </c>
      <c r="G87" s="551" t="s">
        <v>1549</v>
      </c>
      <c r="H87" s="551" t="s">
        <v>100</v>
      </c>
      <c r="I87" s="551" t="s">
        <v>2038</v>
      </c>
      <c r="J87" s="551" t="s">
        <v>2037</v>
      </c>
      <c r="K87" s="551" t="s">
        <v>333</v>
      </c>
      <c r="L87" s="551" t="s">
        <v>100</v>
      </c>
      <c r="M87" s="551" t="s">
        <v>100</v>
      </c>
    </row>
    <row r="88" spans="1:13" ht="15">
      <c r="A88" s="551" t="s">
        <v>335</v>
      </c>
      <c r="B88" s="551" t="s">
        <v>336</v>
      </c>
      <c r="C88" s="552">
        <v>12977.23</v>
      </c>
      <c r="D88" s="552">
        <v>133800.38</v>
      </c>
      <c r="E88" s="551" t="s">
        <v>156</v>
      </c>
      <c r="F88" s="551" t="s">
        <v>100</v>
      </c>
      <c r="G88" s="551" t="s">
        <v>1549</v>
      </c>
      <c r="H88" s="551" t="s">
        <v>100</v>
      </c>
      <c r="I88" s="551" t="s">
        <v>2038</v>
      </c>
      <c r="J88" s="551" t="s">
        <v>2037</v>
      </c>
      <c r="K88" s="551" t="s">
        <v>335</v>
      </c>
      <c r="L88" s="551" t="s">
        <v>100</v>
      </c>
      <c r="M88" s="551" t="s">
        <v>100</v>
      </c>
    </row>
    <row r="89" spans="1:13" ht="15">
      <c r="A89" s="551" t="s">
        <v>337</v>
      </c>
      <c r="B89" s="551" t="s">
        <v>338</v>
      </c>
      <c r="C89" s="552">
        <v>143169.4</v>
      </c>
      <c r="D89" s="552">
        <v>509313.38</v>
      </c>
      <c r="E89" s="551" t="s">
        <v>156</v>
      </c>
      <c r="F89" s="551" t="s">
        <v>100</v>
      </c>
      <c r="G89" s="551" t="s">
        <v>1550</v>
      </c>
      <c r="H89" s="551" t="s">
        <v>339</v>
      </c>
      <c r="I89" s="551" t="s">
        <v>2035</v>
      </c>
      <c r="J89" s="551" t="s">
        <v>100</v>
      </c>
      <c r="K89" s="551" t="s">
        <v>100</v>
      </c>
      <c r="L89" s="551" t="s">
        <v>100</v>
      </c>
      <c r="M89" s="551" t="s">
        <v>100</v>
      </c>
    </row>
    <row r="90" spans="1:13" ht="15">
      <c r="A90" s="551" t="s">
        <v>340</v>
      </c>
      <c r="B90" s="551" t="s">
        <v>341</v>
      </c>
      <c r="C90" s="552">
        <v>2751179.37</v>
      </c>
      <c r="D90" s="552">
        <v>12219589.289999999</v>
      </c>
      <c r="E90" s="551" t="s">
        <v>156</v>
      </c>
      <c r="F90" s="551" t="s">
        <v>100</v>
      </c>
      <c r="G90" s="551" t="s">
        <v>1550</v>
      </c>
      <c r="H90" s="551" t="s">
        <v>342</v>
      </c>
      <c r="I90" s="551" t="s">
        <v>2035</v>
      </c>
      <c r="J90" s="551" t="s">
        <v>100</v>
      </c>
      <c r="K90" s="551" t="s">
        <v>100</v>
      </c>
      <c r="L90" s="551" t="s">
        <v>100</v>
      </c>
      <c r="M90" s="551" t="s">
        <v>100</v>
      </c>
    </row>
    <row r="91" spans="1:13" ht="15">
      <c r="A91" s="551" t="s">
        <v>343</v>
      </c>
      <c r="B91" s="551" t="s">
        <v>344</v>
      </c>
      <c r="C91" s="552">
        <v>0</v>
      </c>
      <c r="D91" s="552">
        <v>0</v>
      </c>
      <c r="E91" s="551" t="s">
        <v>156</v>
      </c>
      <c r="F91" s="551" t="s">
        <v>100</v>
      </c>
      <c r="G91" s="551" t="s">
        <v>1548</v>
      </c>
      <c r="H91" s="551" t="s">
        <v>100</v>
      </c>
      <c r="I91" s="551" t="s">
        <v>2035</v>
      </c>
      <c r="J91" s="551" t="s">
        <v>100</v>
      </c>
      <c r="K91" s="551" t="s">
        <v>100</v>
      </c>
      <c r="L91" s="551" t="s">
        <v>100</v>
      </c>
      <c r="M91" s="551" t="s">
        <v>100</v>
      </c>
    </row>
    <row r="92" spans="1:13" ht="15">
      <c r="A92" s="551" t="s">
        <v>345</v>
      </c>
      <c r="B92" s="551" t="s">
        <v>346</v>
      </c>
      <c r="C92" s="552">
        <v>0</v>
      </c>
      <c r="D92" s="552">
        <v>50218.27</v>
      </c>
      <c r="E92" s="551" t="s">
        <v>156</v>
      </c>
      <c r="F92" s="551" t="s">
        <v>100</v>
      </c>
      <c r="G92" s="551" t="s">
        <v>1549</v>
      </c>
      <c r="H92" s="551" t="s">
        <v>100</v>
      </c>
      <c r="I92" s="551" t="s">
        <v>2038</v>
      </c>
      <c r="J92" s="551" t="s">
        <v>2037</v>
      </c>
      <c r="K92" s="551" t="s">
        <v>345</v>
      </c>
      <c r="L92" s="551" t="s">
        <v>100</v>
      </c>
      <c r="M92" s="551" t="s">
        <v>100</v>
      </c>
    </row>
    <row r="93" spans="1:13" ht="15">
      <c r="A93" s="551" t="s">
        <v>347</v>
      </c>
      <c r="B93" s="551" t="s">
        <v>348</v>
      </c>
      <c r="C93" s="552">
        <v>13872.37</v>
      </c>
      <c r="D93" s="552">
        <v>63380.4</v>
      </c>
      <c r="E93" s="551" t="s">
        <v>156</v>
      </c>
      <c r="F93" s="551" t="s">
        <v>100</v>
      </c>
      <c r="G93" s="551" t="s">
        <v>1549</v>
      </c>
      <c r="H93" s="551" t="s">
        <v>100</v>
      </c>
      <c r="I93" s="551" t="s">
        <v>2038</v>
      </c>
      <c r="J93" s="551" t="s">
        <v>2037</v>
      </c>
      <c r="K93" s="551" t="s">
        <v>347</v>
      </c>
      <c r="L93" s="551" t="s">
        <v>100</v>
      </c>
      <c r="M93" s="551" t="s">
        <v>100</v>
      </c>
    </row>
    <row r="94" spans="1:13" ht="15">
      <c r="A94" s="551" t="s">
        <v>349</v>
      </c>
      <c r="B94" s="551" t="s">
        <v>350</v>
      </c>
      <c r="C94" s="552">
        <v>0</v>
      </c>
      <c r="D94" s="552">
        <v>0</v>
      </c>
      <c r="E94" s="551" t="s">
        <v>156</v>
      </c>
      <c r="F94" s="551" t="s">
        <v>100</v>
      </c>
      <c r="G94" s="551" t="s">
        <v>1549</v>
      </c>
      <c r="H94" s="551" t="s">
        <v>100</v>
      </c>
      <c r="I94" s="551" t="s">
        <v>2035</v>
      </c>
      <c r="J94" s="551" t="s">
        <v>2037</v>
      </c>
      <c r="K94" s="551" t="s">
        <v>100</v>
      </c>
      <c r="L94" s="551" t="s">
        <v>100</v>
      </c>
      <c r="M94" s="551" t="s">
        <v>100</v>
      </c>
    </row>
    <row r="95" spans="1:13" ht="15">
      <c r="A95" s="551" t="s">
        <v>351</v>
      </c>
      <c r="B95" s="551" t="s">
        <v>352</v>
      </c>
      <c r="C95" s="552">
        <v>0</v>
      </c>
      <c r="D95" s="552">
        <v>0</v>
      </c>
      <c r="E95" s="551" t="s">
        <v>156</v>
      </c>
      <c r="F95" s="551" t="s">
        <v>100</v>
      </c>
      <c r="G95" s="551" t="s">
        <v>1549</v>
      </c>
      <c r="H95" s="551" t="s">
        <v>100</v>
      </c>
      <c r="I95" s="551" t="s">
        <v>2038</v>
      </c>
      <c r="J95" s="551" t="s">
        <v>2037</v>
      </c>
      <c r="K95" s="551" t="s">
        <v>351</v>
      </c>
      <c r="L95" s="551" t="s">
        <v>100</v>
      </c>
      <c r="M95" s="551" t="s">
        <v>100</v>
      </c>
    </row>
    <row r="96" spans="1:13" ht="15">
      <c r="A96" s="551" t="s">
        <v>353</v>
      </c>
      <c r="B96" s="551" t="s">
        <v>1527</v>
      </c>
      <c r="C96" s="552">
        <v>192173.71</v>
      </c>
      <c r="D96" s="552">
        <v>1077510.0900000001</v>
      </c>
      <c r="E96" s="551" t="s">
        <v>156</v>
      </c>
      <c r="F96" s="551" t="s">
        <v>100</v>
      </c>
      <c r="G96" s="551" t="s">
        <v>1549</v>
      </c>
      <c r="H96" s="551" t="s">
        <v>100</v>
      </c>
      <c r="I96" s="551" t="s">
        <v>2038</v>
      </c>
      <c r="J96" s="551" t="s">
        <v>2037</v>
      </c>
      <c r="K96" s="551" t="s">
        <v>353</v>
      </c>
      <c r="L96" s="551" t="s">
        <v>100</v>
      </c>
      <c r="M96" s="551" t="s">
        <v>100</v>
      </c>
    </row>
    <row r="97" spans="1:13" ht="15">
      <c r="A97" s="551" t="s">
        <v>355</v>
      </c>
      <c r="B97" s="551" t="s">
        <v>1563</v>
      </c>
      <c r="C97" s="552">
        <v>0</v>
      </c>
      <c r="D97" s="552">
        <v>53086.25</v>
      </c>
      <c r="E97" s="551" t="s">
        <v>156</v>
      </c>
      <c r="F97" s="551" t="s">
        <v>100</v>
      </c>
      <c r="G97" s="551" t="s">
        <v>1549</v>
      </c>
      <c r="H97" s="551" t="s">
        <v>100</v>
      </c>
      <c r="I97" s="551" t="s">
        <v>2038</v>
      </c>
      <c r="J97" s="551" t="s">
        <v>2037</v>
      </c>
      <c r="K97" s="551" t="s">
        <v>355</v>
      </c>
      <c r="L97" s="551" t="s">
        <v>100</v>
      </c>
      <c r="M97" s="551" t="s">
        <v>100</v>
      </c>
    </row>
    <row r="98" spans="1:13" ht="15">
      <c r="A98" s="551" t="s">
        <v>357</v>
      </c>
      <c r="B98" s="551" t="s">
        <v>1564</v>
      </c>
      <c r="C98" s="552">
        <v>0</v>
      </c>
      <c r="D98" s="552">
        <v>0</v>
      </c>
      <c r="E98" s="551" t="s">
        <v>156</v>
      </c>
      <c r="F98" s="551" t="s">
        <v>100</v>
      </c>
      <c r="G98" s="551" t="s">
        <v>1549</v>
      </c>
      <c r="H98" s="551" t="s">
        <v>100</v>
      </c>
      <c r="I98" s="551" t="s">
        <v>2035</v>
      </c>
      <c r="J98" s="551" t="s">
        <v>2037</v>
      </c>
      <c r="K98" s="551" t="s">
        <v>357</v>
      </c>
      <c r="L98" s="551" t="s">
        <v>100</v>
      </c>
      <c r="M98" s="551" t="s">
        <v>100</v>
      </c>
    </row>
    <row r="99" spans="1:13" ht="15">
      <c r="A99" s="551" t="s">
        <v>359</v>
      </c>
      <c r="B99" s="551" t="s">
        <v>360</v>
      </c>
      <c r="C99" s="552">
        <v>1559.28</v>
      </c>
      <c r="D99" s="552">
        <v>10459.18</v>
      </c>
      <c r="E99" s="551" t="s">
        <v>156</v>
      </c>
      <c r="F99" s="551" t="s">
        <v>100</v>
      </c>
      <c r="G99" s="551" t="s">
        <v>1549</v>
      </c>
      <c r="H99" s="551" t="s">
        <v>100</v>
      </c>
      <c r="I99" s="551" t="s">
        <v>2038</v>
      </c>
      <c r="J99" s="551" t="s">
        <v>2037</v>
      </c>
      <c r="K99" s="551" t="s">
        <v>359</v>
      </c>
      <c r="L99" s="551" t="s">
        <v>100</v>
      </c>
      <c r="M99" s="551" t="s">
        <v>100</v>
      </c>
    </row>
    <row r="100" spans="1:13" ht="15">
      <c r="A100" s="551" t="s">
        <v>361</v>
      </c>
      <c r="B100" s="551" t="s">
        <v>362</v>
      </c>
      <c r="C100" s="552">
        <v>0</v>
      </c>
      <c r="D100" s="552">
        <v>0</v>
      </c>
      <c r="E100" s="551" t="s">
        <v>156</v>
      </c>
      <c r="F100" s="551" t="s">
        <v>100</v>
      </c>
      <c r="G100" s="551" t="s">
        <v>1549</v>
      </c>
      <c r="H100" s="551" t="s">
        <v>100</v>
      </c>
      <c r="I100" s="551" t="s">
        <v>2035</v>
      </c>
      <c r="J100" s="551" t="s">
        <v>2037</v>
      </c>
      <c r="K100" s="551" t="s">
        <v>361</v>
      </c>
      <c r="L100" s="551" t="s">
        <v>100</v>
      </c>
      <c r="M100" s="551" t="s">
        <v>100</v>
      </c>
    </row>
    <row r="101" spans="1:13" ht="15">
      <c r="A101" s="551" t="s">
        <v>363</v>
      </c>
      <c r="B101" s="551" t="s">
        <v>364</v>
      </c>
      <c r="C101" s="552">
        <v>0</v>
      </c>
      <c r="D101" s="552">
        <v>0</v>
      </c>
      <c r="E101" s="551" t="s">
        <v>156</v>
      </c>
      <c r="F101" s="551" t="s">
        <v>100</v>
      </c>
      <c r="G101" s="551" t="s">
        <v>1549</v>
      </c>
      <c r="H101" s="551" t="s">
        <v>100</v>
      </c>
      <c r="I101" s="551" t="s">
        <v>2035</v>
      </c>
      <c r="J101" s="551" t="s">
        <v>2037</v>
      </c>
      <c r="K101" s="551" t="s">
        <v>363</v>
      </c>
      <c r="L101" s="551" t="s">
        <v>100</v>
      </c>
      <c r="M101" s="551" t="s">
        <v>100</v>
      </c>
    </row>
    <row r="102" spans="1:13" ht="15">
      <c r="A102" s="551" t="s">
        <v>365</v>
      </c>
      <c r="B102" s="551" t="s">
        <v>1565</v>
      </c>
      <c r="C102" s="552">
        <v>0</v>
      </c>
      <c r="D102" s="552">
        <v>0</v>
      </c>
      <c r="E102" s="551" t="s">
        <v>156</v>
      </c>
      <c r="F102" s="551" t="s">
        <v>100</v>
      </c>
      <c r="G102" s="551" t="s">
        <v>1549</v>
      </c>
      <c r="H102" s="551" t="s">
        <v>100</v>
      </c>
      <c r="I102" s="551" t="s">
        <v>2035</v>
      </c>
      <c r="J102" s="551" t="s">
        <v>2037</v>
      </c>
      <c r="K102" s="551" t="s">
        <v>365</v>
      </c>
      <c r="L102" s="551" t="s">
        <v>100</v>
      </c>
      <c r="M102" s="551" t="s">
        <v>100</v>
      </c>
    </row>
    <row r="103" spans="1:13" ht="15">
      <c r="A103" s="551" t="s">
        <v>367</v>
      </c>
      <c r="B103" s="551" t="s">
        <v>368</v>
      </c>
      <c r="C103" s="552">
        <v>207605.36</v>
      </c>
      <c r="D103" s="552">
        <v>1254654.19</v>
      </c>
      <c r="E103" s="551" t="s">
        <v>156</v>
      </c>
      <c r="F103" s="551" t="s">
        <v>100</v>
      </c>
      <c r="G103" s="551" t="s">
        <v>1550</v>
      </c>
      <c r="H103" s="551" t="s">
        <v>369</v>
      </c>
      <c r="I103" s="551" t="s">
        <v>2035</v>
      </c>
      <c r="J103" s="551" t="s">
        <v>100</v>
      </c>
      <c r="K103" s="551" t="s">
        <v>100</v>
      </c>
      <c r="L103" s="551" t="s">
        <v>100</v>
      </c>
      <c r="M103" s="551" t="s">
        <v>100</v>
      </c>
    </row>
    <row r="104" spans="1:13" ht="15">
      <c r="A104" s="551" t="s">
        <v>370</v>
      </c>
      <c r="B104" s="551" t="s">
        <v>371</v>
      </c>
      <c r="C104" s="552">
        <v>0</v>
      </c>
      <c r="D104" s="552">
        <v>0</v>
      </c>
      <c r="E104" s="551" t="s">
        <v>156</v>
      </c>
      <c r="F104" s="551" t="s">
        <v>100</v>
      </c>
      <c r="G104" s="551" t="s">
        <v>1548</v>
      </c>
      <c r="H104" s="551" t="s">
        <v>100</v>
      </c>
      <c r="I104" s="551" t="s">
        <v>2035</v>
      </c>
      <c r="J104" s="551" t="s">
        <v>100</v>
      </c>
      <c r="K104" s="551" t="s">
        <v>100</v>
      </c>
      <c r="L104" s="551" t="s">
        <v>100</v>
      </c>
      <c r="M104" s="551" t="s">
        <v>100</v>
      </c>
    </row>
    <row r="105" spans="1:13" ht="15">
      <c r="A105" s="551" t="s">
        <v>372</v>
      </c>
      <c r="B105" s="551" t="s">
        <v>373</v>
      </c>
      <c r="C105" s="552">
        <v>0</v>
      </c>
      <c r="D105" s="552">
        <v>0</v>
      </c>
      <c r="E105" s="551" t="s">
        <v>156</v>
      </c>
      <c r="F105" s="551" t="s">
        <v>100</v>
      </c>
      <c r="G105" s="551" t="s">
        <v>1548</v>
      </c>
      <c r="H105" s="551" t="s">
        <v>100</v>
      </c>
      <c r="I105" s="551" t="s">
        <v>2035</v>
      </c>
      <c r="J105" s="551" t="s">
        <v>100</v>
      </c>
      <c r="K105" s="551" t="s">
        <v>100</v>
      </c>
      <c r="L105" s="551" t="s">
        <v>100</v>
      </c>
      <c r="M105" s="551" t="s">
        <v>100</v>
      </c>
    </row>
    <row r="106" spans="1:13" ht="15">
      <c r="A106" s="551" t="s">
        <v>374</v>
      </c>
      <c r="B106" s="551" t="s">
        <v>375</v>
      </c>
      <c r="C106" s="552">
        <v>21123.88</v>
      </c>
      <c r="D106" s="552">
        <v>347053.7</v>
      </c>
      <c r="E106" s="551" t="s">
        <v>156</v>
      </c>
      <c r="F106" s="551" t="s">
        <v>100</v>
      </c>
      <c r="G106" s="551" t="s">
        <v>1549</v>
      </c>
      <c r="H106" s="551" t="s">
        <v>100</v>
      </c>
      <c r="I106" s="551" t="s">
        <v>2038</v>
      </c>
      <c r="J106" s="551" t="s">
        <v>2037</v>
      </c>
      <c r="K106" s="551" t="s">
        <v>374</v>
      </c>
      <c r="L106" s="551" t="s">
        <v>100</v>
      </c>
      <c r="M106" s="551" t="s">
        <v>100</v>
      </c>
    </row>
    <row r="107" spans="1:13" ht="15">
      <c r="A107" s="551" t="s">
        <v>376</v>
      </c>
      <c r="B107" s="551" t="s">
        <v>377</v>
      </c>
      <c r="C107" s="552">
        <v>0</v>
      </c>
      <c r="D107" s="552">
        <v>0</v>
      </c>
      <c r="E107" s="551" t="s">
        <v>156</v>
      </c>
      <c r="F107" s="551" t="s">
        <v>100</v>
      </c>
      <c r="G107" s="551" t="s">
        <v>1549</v>
      </c>
      <c r="H107" s="551" t="s">
        <v>100</v>
      </c>
      <c r="I107" s="551" t="s">
        <v>2035</v>
      </c>
      <c r="J107" s="551" t="s">
        <v>100</v>
      </c>
      <c r="K107" s="551" t="s">
        <v>100</v>
      </c>
      <c r="L107" s="551" t="s">
        <v>100</v>
      </c>
      <c r="M107" s="551" t="s">
        <v>100</v>
      </c>
    </row>
    <row r="108" spans="1:13" ht="15">
      <c r="A108" s="551" t="s">
        <v>378</v>
      </c>
      <c r="B108" s="551" t="s">
        <v>379</v>
      </c>
      <c r="C108" s="552">
        <v>21123.88</v>
      </c>
      <c r="D108" s="552">
        <v>347053.7</v>
      </c>
      <c r="E108" s="551" t="s">
        <v>156</v>
      </c>
      <c r="F108" s="551" t="s">
        <v>100</v>
      </c>
      <c r="G108" s="551" t="s">
        <v>1550</v>
      </c>
      <c r="H108" s="551" t="s">
        <v>380</v>
      </c>
      <c r="I108" s="551" t="s">
        <v>2035</v>
      </c>
      <c r="J108" s="551" t="s">
        <v>100</v>
      </c>
      <c r="K108" s="551" t="s">
        <v>100</v>
      </c>
      <c r="L108" s="551" t="s">
        <v>100</v>
      </c>
      <c r="M108" s="551" t="s">
        <v>100</v>
      </c>
    </row>
    <row r="109" spans="1:13" ht="15">
      <c r="A109" s="551" t="s">
        <v>381</v>
      </c>
      <c r="B109" s="551" t="s">
        <v>382</v>
      </c>
      <c r="C109" s="552">
        <v>0</v>
      </c>
      <c r="D109" s="552">
        <v>0</v>
      </c>
      <c r="E109" s="551" t="s">
        <v>156</v>
      </c>
      <c r="F109" s="551" t="s">
        <v>100</v>
      </c>
      <c r="G109" s="551" t="s">
        <v>1548</v>
      </c>
      <c r="H109" s="551" t="s">
        <v>100</v>
      </c>
      <c r="I109" s="551" t="s">
        <v>2035</v>
      </c>
      <c r="J109" s="551" t="s">
        <v>100</v>
      </c>
      <c r="K109" s="551" t="s">
        <v>100</v>
      </c>
      <c r="L109" s="551" t="s">
        <v>100</v>
      </c>
      <c r="M109" s="551" t="s">
        <v>100</v>
      </c>
    </row>
    <row r="110" spans="1:13" ht="15">
      <c r="A110" s="551" t="s">
        <v>383</v>
      </c>
      <c r="B110" s="551" t="s">
        <v>384</v>
      </c>
      <c r="C110" s="552">
        <v>894</v>
      </c>
      <c r="D110" s="552">
        <v>8966.58</v>
      </c>
      <c r="E110" s="551" t="s">
        <v>156</v>
      </c>
      <c r="F110" s="551" t="s">
        <v>100</v>
      </c>
      <c r="G110" s="551" t="s">
        <v>1549</v>
      </c>
      <c r="H110" s="551" t="s">
        <v>100</v>
      </c>
      <c r="I110" s="551" t="s">
        <v>2038</v>
      </c>
      <c r="J110" s="551" t="s">
        <v>2037</v>
      </c>
      <c r="K110" s="551" t="s">
        <v>383</v>
      </c>
      <c r="L110" s="551" t="s">
        <v>100</v>
      </c>
      <c r="M110" s="551" t="s">
        <v>100</v>
      </c>
    </row>
    <row r="111" spans="1:13" ht="15">
      <c r="A111" s="551" t="s">
        <v>385</v>
      </c>
      <c r="B111" s="551" t="s">
        <v>386</v>
      </c>
      <c r="C111" s="552">
        <v>0</v>
      </c>
      <c r="D111" s="552">
        <v>50000</v>
      </c>
      <c r="E111" s="551" t="s">
        <v>156</v>
      </c>
      <c r="F111" s="551" t="s">
        <v>100</v>
      </c>
      <c r="G111" s="551" t="s">
        <v>1549</v>
      </c>
      <c r="H111" s="551" t="s">
        <v>100</v>
      </c>
      <c r="I111" s="551" t="s">
        <v>2038</v>
      </c>
      <c r="J111" s="551" t="s">
        <v>2037</v>
      </c>
      <c r="K111" s="551" t="s">
        <v>385</v>
      </c>
      <c r="L111" s="551" t="s">
        <v>100</v>
      </c>
      <c r="M111" s="551" t="s">
        <v>100</v>
      </c>
    </row>
    <row r="112" spans="1:13" ht="15">
      <c r="A112" s="551" t="s">
        <v>389</v>
      </c>
      <c r="B112" s="551" t="s">
        <v>390</v>
      </c>
      <c r="C112" s="552">
        <v>0</v>
      </c>
      <c r="D112" s="552">
        <v>4022.78</v>
      </c>
      <c r="E112" s="551" t="s">
        <v>156</v>
      </c>
      <c r="F112" s="551" t="s">
        <v>100</v>
      </c>
      <c r="G112" s="551" t="s">
        <v>1549</v>
      </c>
      <c r="H112" s="551" t="s">
        <v>100</v>
      </c>
      <c r="I112" s="551" t="s">
        <v>2038</v>
      </c>
      <c r="J112" s="551" t="s">
        <v>2037</v>
      </c>
      <c r="K112" s="551" t="s">
        <v>389</v>
      </c>
      <c r="L112" s="551" t="s">
        <v>100</v>
      </c>
      <c r="M112" s="551" t="s">
        <v>100</v>
      </c>
    </row>
    <row r="113" spans="1:13" ht="15">
      <c r="A113" s="551" t="s">
        <v>391</v>
      </c>
      <c r="B113" s="551" t="s">
        <v>392</v>
      </c>
      <c r="C113" s="552">
        <v>0</v>
      </c>
      <c r="D113" s="552">
        <v>0</v>
      </c>
      <c r="E113" s="551" t="s">
        <v>156</v>
      </c>
      <c r="F113" s="551" t="s">
        <v>100</v>
      </c>
      <c r="G113" s="551" t="s">
        <v>1549</v>
      </c>
      <c r="H113" s="551" t="s">
        <v>100</v>
      </c>
      <c r="I113" s="551" t="s">
        <v>2038</v>
      </c>
      <c r="J113" s="551" t="s">
        <v>2037</v>
      </c>
      <c r="K113" s="551" t="s">
        <v>391</v>
      </c>
      <c r="L113" s="551" t="s">
        <v>100</v>
      </c>
      <c r="M113" s="551" t="s">
        <v>100</v>
      </c>
    </row>
    <row r="114" spans="1:13" ht="15">
      <c r="A114" s="551" t="s">
        <v>393</v>
      </c>
      <c r="B114" s="551" t="s">
        <v>1566</v>
      </c>
      <c r="C114" s="552">
        <v>0</v>
      </c>
      <c r="D114" s="552">
        <v>0</v>
      </c>
      <c r="E114" s="551" t="s">
        <v>156</v>
      </c>
      <c r="F114" s="551" t="s">
        <v>100</v>
      </c>
      <c r="G114" s="551" t="s">
        <v>1549</v>
      </c>
      <c r="H114" s="551" t="s">
        <v>100</v>
      </c>
      <c r="I114" s="551" t="s">
        <v>2038</v>
      </c>
      <c r="J114" s="551" t="s">
        <v>2037</v>
      </c>
      <c r="K114" s="551" t="s">
        <v>391</v>
      </c>
      <c r="L114" s="551" t="s">
        <v>100</v>
      </c>
      <c r="M114" s="551" t="s">
        <v>100</v>
      </c>
    </row>
    <row r="115" spans="1:13" ht="15">
      <c r="A115" s="551" t="s">
        <v>395</v>
      </c>
      <c r="B115" s="551" t="s">
        <v>396</v>
      </c>
      <c r="C115" s="552">
        <v>0</v>
      </c>
      <c r="D115" s="552">
        <v>0</v>
      </c>
      <c r="E115" s="551" t="s">
        <v>156</v>
      </c>
      <c r="F115" s="551" t="s">
        <v>100</v>
      </c>
      <c r="G115" s="551" t="s">
        <v>1549</v>
      </c>
      <c r="H115" s="551" t="s">
        <v>100</v>
      </c>
      <c r="I115" s="551" t="s">
        <v>2038</v>
      </c>
      <c r="J115" s="551" t="s">
        <v>2037</v>
      </c>
      <c r="K115" s="551" t="s">
        <v>395</v>
      </c>
      <c r="L115" s="551" t="s">
        <v>100</v>
      </c>
      <c r="M115" s="551" t="s">
        <v>100</v>
      </c>
    </row>
    <row r="116" spans="1:13" ht="15">
      <c r="A116" s="551" t="s">
        <v>397</v>
      </c>
      <c r="B116" s="551" t="s">
        <v>1568</v>
      </c>
      <c r="C116" s="552">
        <v>1050</v>
      </c>
      <c r="D116" s="552">
        <v>28831.3</v>
      </c>
      <c r="E116" s="551" t="s">
        <v>156</v>
      </c>
      <c r="F116" s="551" t="s">
        <v>100</v>
      </c>
      <c r="G116" s="551" t="s">
        <v>1549</v>
      </c>
      <c r="H116" s="551" t="s">
        <v>100</v>
      </c>
      <c r="I116" s="551" t="s">
        <v>2038</v>
      </c>
      <c r="J116" s="551" t="s">
        <v>2037</v>
      </c>
      <c r="K116" s="551" t="s">
        <v>397</v>
      </c>
      <c r="L116" s="551" t="s">
        <v>100</v>
      </c>
      <c r="M116" s="551" t="s">
        <v>100</v>
      </c>
    </row>
    <row r="117" spans="1:13" ht="15">
      <c r="A117" s="551" t="s">
        <v>399</v>
      </c>
      <c r="B117" s="551" t="s">
        <v>400</v>
      </c>
      <c r="C117" s="552">
        <v>0</v>
      </c>
      <c r="D117" s="552">
        <v>22334.33</v>
      </c>
      <c r="E117" s="551" t="s">
        <v>156</v>
      </c>
      <c r="F117" s="551" t="s">
        <v>100</v>
      </c>
      <c r="G117" s="551" t="s">
        <v>1549</v>
      </c>
      <c r="H117" s="551" t="s">
        <v>100</v>
      </c>
      <c r="I117" s="551" t="s">
        <v>2038</v>
      </c>
      <c r="J117" s="551" t="s">
        <v>2037</v>
      </c>
      <c r="K117" s="551" t="s">
        <v>399</v>
      </c>
      <c r="L117" s="551" t="s">
        <v>100</v>
      </c>
      <c r="M117" s="551" t="s">
        <v>100</v>
      </c>
    </row>
    <row r="118" spans="1:13" ht="15">
      <c r="A118" s="551" t="s">
        <v>401</v>
      </c>
      <c r="B118" s="551" t="s">
        <v>402</v>
      </c>
      <c r="C118" s="552">
        <v>0</v>
      </c>
      <c r="D118" s="552">
        <v>0</v>
      </c>
      <c r="E118" s="551" t="s">
        <v>156</v>
      </c>
      <c r="F118" s="551" t="s">
        <v>100</v>
      </c>
      <c r="G118" s="551" t="s">
        <v>1549</v>
      </c>
      <c r="H118" s="551" t="s">
        <v>100</v>
      </c>
      <c r="I118" s="551" t="s">
        <v>2038</v>
      </c>
      <c r="J118" s="551" t="s">
        <v>2037</v>
      </c>
      <c r="K118" s="551" t="s">
        <v>100</v>
      </c>
      <c r="L118" s="551" t="s">
        <v>100</v>
      </c>
      <c r="M118" s="551" t="s">
        <v>100</v>
      </c>
    </row>
    <row r="119" spans="1:13" ht="15">
      <c r="A119" s="551" t="s">
        <v>403</v>
      </c>
      <c r="B119" s="551" t="s">
        <v>2023</v>
      </c>
      <c r="C119" s="552">
        <v>0</v>
      </c>
      <c r="D119" s="552">
        <v>0</v>
      </c>
      <c r="E119" s="551" t="s">
        <v>156</v>
      </c>
      <c r="F119" s="551" t="s">
        <v>100</v>
      </c>
      <c r="G119" s="551" t="s">
        <v>1549</v>
      </c>
      <c r="H119" s="551" t="s">
        <v>100</v>
      </c>
      <c r="I119" s="551" t="s">
        <v>2038</v>
      </c>
      <c r="J119" s="551" t="s">
        <v>2037</v>
      </c>
      <c r="K119" s="551" t="s">
        <v>100</v>
      </c>
      <c r="L119" s="551" t="s">
        <v>100</v>
      </c>
      <c r="M119" s="551" t="s">
        <v>100</v>
      </c>
    </row>
    <row r="120" spans="1:13" ht="15">
      <c r="A120" s="551" t="s">
        <v>405</v>
      </c>
      <c r="B120" s="551" t="s">
        <v>1570</v>
      </c>
      <c r="C120" s="552">
        <v>0</v>
      </c>
      <c r="D120" s="552">
        <v>415.1</v>
      </c>
      <c r="E120" s="551" t="s">
        <v>156</v>
      </c>
      <c r="F120" s="551" t="s">
        <v>100</v>
      </c>
      <c r="G120" s="551" t="s">
        <v>1549</v>
      </c>
      <c r="H120" s="551" t="s">
        <v>100</v>
      </c>
      <c r="I120" s="551" t="s">
        <v>2038</v>
      </c>
      <c r="J120" s="551" t="s">
        <v>2037</v>
      </c>
      <c r="K120" s="551" t="s">
        <v>100</v>
      </c>
      <c r="L120" s="551" t="s">
        <v>100</v>
      </c>
      <c r="M120" s="551" t="s">
        <v>100</v>
      </c>
    </row>
    <row r="121" spans="1:13" ht="15">
      <c r="A121" s="551" t="s">
        <v>407</v>
      </c>
      <c r="B121" s="551" t="s">
        <v>220</v>
      </c>
      <c r="C121" s="552">
        <v>0</v>
      </c>
      <c r="D121" s="552">
        <v>0</v>
      </c>
      <c r="E121" s="551" t="s">
        <v>156</v>
      </c>
      <c r="F121" s="551" t="s">
        <v>100</v>
      </c>
      <c r="G121" s="551" t="s">
        <v>1549</v>
      </c>
      <c r="H121" s="551" t="s">
        <v>100</v>
      </c>
      <c r="I121" s="551" t="s">
        <v>2038</v>
      </c>
      <c r="J121" s="551" t="s">
        <v>2037</v>
      </c>
      <c r="K121" s="551" t="s">
        <v>100</v>
      </c>
      <c r="L121" s="551" t="s">
        <v>100</v>
      </c>
      <c r="M121" s="551" t="s">
        <v>100</v>
      </c>
    </row>
    <row r="122" spans="1:13" ht="15">
      <c r="A122" s="551" t="s">
        <v>1571</v>
      </c>
      <c r="B122" s="551" t="s">
        <v>388</v>
      </c>
      <c r="C122" s="552">
        <v>0</v>
      </c>
      <c r="D122" s="552">
        <v>5306.91</v>
      </c>
      <c r="E122" s="551" t="s">
        <v>156</v>
      </c>
      <c r="F122" s="551" t="s">
        <v>100</v>
      </c>
      <c r="G122" s="551" t="s">
        <v>1549</v>
      </c>
      <c r="H122" s="551" t="s">
        <v>100</v>
      </c>
      <c r="I122" s="551" t="s">
        <v>2035</v>
      </c>
      <c r="J122" s="551" t="s">
        <v>100</v>
      </c>
      <c r="K122" s="551" t="s">
        <v>100</v>
      </c>
      <c r="L122" s="551" t="s">
        <v>100</v>
      </c>
      <c r="M122" s="551" t="s">
        <v>100</v>
      </c>
    </row>
    <row r="123" spans="1:13" ht="15">
      <c r="A123" s="551" t="s">
        <v>408</v>
      </c>
      <c r="B123" s="551" t="s">
        <v>409</v>
      </c>
      <c r="C123" s="552">
        <v>1944</v>
      </c>
      <c r="D123" s="552">
        <v>119877</v>
      </c>
      <c r="E123" s="551" t="s">
        <v>156</v>
      </c>
      <c r="F123" s="551" t="s">
        <v>100</v>
      </c>
      <c r="G123" s="551" t="s">
        <v>1550</v>
      </c>
      <c r="H123" s="551" t="s">
        <v>410</v>
      </c>
      <c r="I123" s="551" t="s">
        <v>2035</v>
      </c>
      <c r="J123" s="551" t="s">
        <v>100</v>
      </c>
      <c r="K123" s="551" t="s">
        <v>100</v>
      </c>
      <c r="L123" s="551" t="s">
        <v>100</v>
      </c>
      <c r="M123" s="551" t="s">
        <v>100</v>
      </c>
    </row>
    <row r="124" spans="1:13" ht="15">
      <c r="A124" s="551" t="s">
        <v>411</v>
      </c>
      <c r="B124" s="551" t="s">
        <v>412</v>
      </c>
      <c r="C124" s="552">
        <v>0</v>
      </c>
      <c r="D124" s="552">
        <v>0</v>
      </c>
      <c r="E124" s="551" t="s">
        <v>156</v>
      </c>
      <c r="F124" s="551" t="s">
        <v>100</v>
      </c>
      <c r="G124" s="551" t="s">
        <v>1548</v>
      </c>
      <c r="H124" s="551" t="s">
        <v>100</v>
      </c>
      <c r="I124" s="551" t="s">
        <v>2035</v>
      </c>
      <c r="J124" s="551" t="s">
        <v>100</v>
      </c>
      <c r="K124" s="551" t="s">
        <v>100</v>
      </c>
      <c r="L124" s="551" t="s">
        <v>100</v>
      </c>
      <c r="M124" s="551" t="s">
        <v>100</v>
      </c>
    </row>
    <row r="125" spans="1:13" ht="15">
      <c r="A125" s="551" t="s">
        <v>413</v>
      </c>
      <c r="B125" s="551" t="s">
        <v>414</v>
      </c>
      <c r="C125" s="552">
        <v>0</v>
      </c>
      <c r="D125" s="552">
        <v>0</v>
      </c>
      <c r="E125" s="551" t="s">
        <v>156</v>
      </c>
      <c r="F125" s="551" t="s">
        <v>100</v>
      </c>
      <c r="G125" s="551" t="s">
        <v>1549</v>
      </c>
      <c r="H125" s="551" t="s">
        <v>100</v>
      </c>
      <c r="I125" s="551" t="s">
        <v>2035</v>
      </c>
      <c r="J125" s="551" t="s">
        <v>100</v>
      </c>
      <c r="K125" s="551" t="s">
        <v>100</v>
      </c>
      <c r="L125" s="551" t="s">
        <v>100</v>
      </c>
      <c r="M125" s="551" t="s">
        <v>100</v>
      </c>
    </row>
    <row r="126" spans="1:13" ht="15">
      <c r="A126" s="551" t="s">
        <v>415</v>
      </c>
      <c r="B126" s="551" t="s">
        <v>416</v>
      </c>
      <c r="C126" s="552">
        <v>0</v>
      </c>
      <c r="D126" s="552">
        <v>0</v>
      </c>
      <c r="E126" s="551" t="s">
        <v>156</v>
      </c>
      <c r="F126" s="551" t="s">
        <v>100</v>
      </c>
      <c r="G126" s="551" t="s">
        <v>1550</v>
      </c>
      <c r="H126" s="551" t="s">
        <v>417</v>
      </c>
      <c r="I126" s="551" t="s">
        <v>2035</v>
      </c>
      <c r="J126" s="551" t="s">
        <v>100</v>
      </c>
      <c r="K126" s="551" t="s">
        <v>100</v>
      </c>
      <c r="L126" s="551" t="s">
        <v>100</v>
      </c>
      <c r="M126" s="551" t="s">
        <v>100</v>
      </c>
    </row>
    <row r="127" spans="1:13" ht="15">
      <c r="A127" s="551" t="s">
        <v>418</v>
      </c>
      <c r="B127" s="551" t="s">
        <v>419</v>
      </c>
      <c r="C127" s="552">
        <v>0</v>
      </c>
      <c r="D127" s="552">
        <v>0</v>
      </c>
      <c r="E127" s="551" t="s">
        <v>156</v>
      </c>
      <c r="F127" s="551" t="s">
        <v>100</v>
      </c>
      <c r="G127" s="551" t="s">
        <v>1548</v>
      </c>
      <c r="H127" s="551" t="s">
        <v>100</v>
      </c>
      <c r="I127" s="551" t="s">
        <v>2035</v>
      </c>
      <c r="J127" s="551" t="s">
        <v>100</v>
      </c>
      <c r="K127" s="551" t="s">
        <v>100</v>
      </c>
      <c r="L127" s="551" t="s">
        <v>100</v>
      </c>
      <c r="M127" s="551" t="s">
        <v>100</v>
      </c>
    </row>
    <row r="128" spans="1:13" ht="15">
      <c r="A128" s="551" t="s">
        <v>420</v>
      </c>
      <c r="B128" s="551" t="s">
        <v>56</v>
      </c>
      <c r="C128" s="552">
        <v>25000</v>
      </c>
      <c r="D128" s="552">
        <v>25000</v>
      </c>
      <c r="E128" s="551" t="s">
        <v>156</v>
      </c>
      <c r="F128" s="551" t="s">
        <v>100</v>
      </c>
      <c r="G128" s="551" t="s">
        <v>1549</v>
      </c>
      <c r="H128" s="551" t="s">
        <v>100</v>
      </c>
      <c r="I128" s="551" t="s">
        <v>2038</v>
      </c>
      <c r="J128" s="551" t="s">
        <v>2037</v>
      </c>
      <c r="K128" s="551" t="s">
        <v>420</v>
      </c>
      <c r="L128" s="551" t="s">
        <v>100</v>
      </c>
      <c r="M128" s="551" t="s">
        <v>100</v>
      </c>
    </row>
    <row r="129" spans="1:13" ht="15">
      <c r="A129" s="551" t="s">
        <v>421</v>
      </c>
      <c r="B129" s="551" t="s">
        <v>422</v>
      </c>
      <c r="C129" s="552">
        <v>25000</v>
      </c>
      <c r="D129" s="552">
        <v>25000</v>
      </c>
      <c r="E129" s="551" t="s">
        <v>156</v>
      </c>
      <c r="F129" s="551" t="s">
        <v>100</v>
      </c>
      <c r="G129" s="551" t="s">
        <v>1550</v>
      </c>
      <c r="H129" s="551" t="s">
        <v>423</v>
      </c>
      <c r="I129" s="551" t="s">
        <v>2035</v>
      </c>
      <c r="J129" s="551" t="s">
        <v>100</v>
      </c>
      <c r="K129" s="551" t="s">
        <v>100</v>
      </c>
      <c r="L129" s="551" t="s">
        <v>100</v>
      </c>
      <c r="M129" s="551" t="s">
        <v>100</v>
      </c>
    </row>
    <row r="130" spans="1:13" ht="15">
      <c r="A130" s="551" t="s">
        <v>424</v>
      </c>
      <c r="B130" s="551" t="s">
        <v>425</v>
      </c>
      <c r="C130" s="552">
        <v>48067.88</v>
      </c>
      <c r="D130" s="552">
        <v>491930.7</v>
      </c>
      <c r="E130" s="551" t="s">
        <v>156</v>
      </c>
      <c r="F130" s="551" t="s">
        <v>100</v>
      </c>
      <c r="G130" s="551" t="s">
        <v>1550</v>
      </c>
      <c r="H130" s="551" t="s">
        <v>426</v>
      </c>
      <c r="I130" s="551" t="s">
        <v>2035</v>
      </c>
      <c r="J130" s="551" t="s">
        <v>100</v>
      </c>
      <c r="K130" s="551" t="s">
        <v>100</v>
      </c>
      <c r="L130" s="551" t="s">
        <v>100</v>
      </c>
      <c r="M130" s="551" t="s">
        <v>100</v>
      </c>
    </row>
    <row r="131" spans="1:13" ht="15">
      <c r="A131" s="551" t="s">
        <v>427</v>
      </c>
      <c r="B131" s="551" t="s">
        <v>428</v>
      </c>
      <c r="C131" s="552">
        <v>0</v>
      </c>
      <c r="D131" s="552">
        <v>0</v>
      </c>
      <c r="E131" s="551" t="s">
        <v>156</v>
      </c>
      <c r="F131" s="551" t="s">
        <v>100</v>
      </c>
      <c r="G131" s="551" t="s">
        <v>1548</v>
      </c>
      <c r="H131" s="551" t="s">
        <v>100</v>
      </c>
      <c r="I131" s="551" t="s">
        <v>2035</v>
      </c>
      <c r="J131" s="551" t="s">
        <v>100</v>
      </c>
      <c r="K131" s="551" t="s">
        <v>100</v>
      </c>
      <c r="L131" s="551" t="s">
        <v>100</v>
      </c>
      <c r="M131" s="551" t="s">
        <v>100</v>
      </c>
    </row>
    <row r="132" spans="1:13" ht="15">
      <c r="A132" s="551" t="s">
        <v>430</v>
      </c>
      <c r="B132" s="551" t="s">
        <v>431</v>
      </c>
      <c r="C132" s="552">
        <v>800</v>
      </c>
      <c r="D132" s="552">
        <v>-98800</v>
      </c>
      <c r="E132" s="551" t="s">
        <v>156</v>
      </c>
      <c r="F132" s="551" t="s">
        <v>100</v>
      </c>
      <c r="G132" s="551" t="s">
        <v>1549</v>
      </c>
      <c r="H132" s="551" t="s">
        <v>100</v>
      </c>
      <c r="I132" s="551" t="s">
        <v>2036</v>
      </c>
      <c r="J132" s="551" t="s">
        <v>2037</v>
      </c>
      <c r="K132" s="551" t="s">
        <v>430</v>
      </c>
      <c r="L132" s="551" t="s">
        <v>100</v>
      </c>
      <c r="M132" s="551" t="s">
        <v>100</v>
      </c>
    </row>
    <row r="133" spans="1:13" ht="15">
      <c r="A133" s="551" t="s">
        <v>439</v>
      </c>
      <c r="B133" s="551" t="s">
        <v>440</v>
      </c>
      <c r="C133" s="552">
        <v>0</v>
      </c>
      <c r="D133" s="552">
        <v>-98601.7</v>
      </c>
      <c r="E133" s="551" t="s">
        <v>156</v>
      </c>
      <c r="F133" s="551" t="s">
        <v>100</v>
      </c>
      <c r="G133" s="551" t="s">
        <v>1549</v>
      </c>
      <c r="H133" s="551" t="s">
        <v>100</v>
      </c>
      <c r="I133" s="551" t="s">
        <v>2035</v>
      </c>
      <c r="J133" s="551" t="s">
        <v>100</v>
      </c>
      <c r="K133" s="551" t="s">
        <v>100</v>
      </c>
      <c r="L133" s="551" t="s">
        <v>100</v>
      </c>
      <c r="M133" s="551" t="s">
        <v>100</v>
      </c>
    </row>
    <row r="134" spans="1:13" ht="15">
      <c r="A134" s="551" t="s">
        <v>441</v>
      </c>
      <c r="B134" s="551" t="s">
        <v>442</v>
      </c>
      <c r="C134" s="552">
        <v>0</v>
      </c>
      <c r="D134" s="552">
        <v>0</v>
      </c>
      <c r="E134" s="551" t="s">
        <v>156</v>
      </c>
      <c r="F134" s="551" t="s">
        <v>100</v>
      </c>
      <c r="G134" s="551" t="s">
        <v>1549</v>
      </c>
      <c r="H134" s="551" t="s">
        <v>100</v>
      </c>
      <c r="I134" s="551" t="s">
        <v>2035</v>
      </c>
      <c r="J134" s="551" t="s">
        <v>100</v>
      </c>
      <c r="K134" s="551" t="s">
        <v>100</v>
      </c>
      <c r="L134" s="551" t="s">
        <v>100</v>
      </c>
      <c r="M134" s="551" t="s">
        <v>100</v>
      </c>
    </row>
    <row r="135" spans="1:13" ht="15">
      <c r="A135" s="551" t="s">
        <v>443</v>
      </c>
      <c r="B135" s="551" t="s">
        <v>1573</v>
      </c>
      <c r="C135" s="552">
        <v>0</v>
      </c>
      <c r="D135" s="552">
        <v>0</v>
      </c>
      <c r="E135" s="551" t="s">
        <v>156</v>
      </c>
      <c r="F135" s="551" t="s">
        <v>100</v>
      </c>
      <c r="G135" s="551" t="s">
        <v>1549</v>
      </c>
      <c r="H135" s="551" t="s">
        <v>100</v>
      </c>
      <c r="I135" s="551" t="s">
        <v>2035</v>
      </c>
      <c r="J135" s="551" t="s">
        <v>100</v>
      </c>
      <c r="K135" s="551" t="s">
        <v>100</v>
      </c>
      <c r="L135" s="551" t="s">
        <v>100</v>
      </c>
      <c r="M135" s="551" t="s">
        <v>100</v>
      </c>
    </row>
    <row r="136" spans="1:13" ht="15">
      <c r="A136" s="551" t="s">
        <v>445</v>
      </c>
      <c r="B136" s="551" t="s">
        <v>446</v>
      </c>
      <c r="C136" s="552">
        <v>0</v>
      </c>
      <c r="D136" s="552">
        <v>0</v>
      </c>
      <c r="E136" s="551" t="s">
        <v>156</v>
      </c>
      <c r="F136" s="551" t="s">
        <v>100</v>
      </c>
      <c r="G136" s="551" t="s">
        <v>1549</v>
      </c>
      <c r="H136" s="551" t="s">
        <v>100</v>
      </c>
      <c r="I136" s="551" t="s">
        <v>2038</v>
      </c>
      <c r="J136" s="551" t="s">
        <v>2037</v>
      </c>
      <c r="K136" s="551" t="s">
        <v>430</v>
      </c>
      <c r="L136" s="551" t="s">
        <v>100</v>
      </c>
      <c r="M136" s="551" t="s">
        <v>100</v>
      </c>
    </row>
    <row r="137" spans="1:13" ht="15">
      <c r="A137" s="551" t="s">
        <v>447</v>
      </c>
      <c r="B137" s="551" t="s">
        <v>448</v>
      </c>
      <c r="C137" s="552">
        <v>181821.25</v>
      </c>
      <c r="D137" s="552">
        <v>687256.94</v>
      </c>
      <c r="E137" s="551" t="s">
        <v>156</v>
      </c>
      <c r="F137" s="551" t="s">
        <v>100</v>
      </c>
      <c r="G137" s="551" t="s">
        <v>1549</v>
      </c>
      <c r="H137" s="551" t="s">
        <v>100</v>
      </c>
      <c r="I137" s="551" t="s">
        <v>2038</v>
      </c>
      <c r="J137" s="551" t="s">
        <v>2037</v>
      </c>
      <c r="K137" s="551" t="s">
        <v>447</v>
      </c>
      <c r="L137" s="551" t="s">
        <v>100</v>
      </c>
      <c r="M137" s="551" t="s">
        <v>100</v>
      </c>
    </row>
    <row r="138" spans="1:13" ht="15">
      <c r="A138" s="551" t="s">
        <v>449</v>
      </c>
      <c r="B138" s="551" t="s">
        <v>450</v>
      </c>
      <c r="C138" s="552">
        <v>0</v>
      </c>
      <c r="D138" s="552">
        <v>27472.89</v>
      </c>
      <c r="E138" s="551" t="s">
        <v>156</v>
      </c>
      <c r="F138" s="551" t="s">
        <v>100</v>
      </c>
      <c r="G138" s="551" t="s">
        <v>1549</v>
      </c>
      <c r="H138" s="551" t="s">
        <v>100</v>
      </c>
      <c r="I138" s="551" t="s">
        <v>2038</v>
      </c>
      <c r="J138" s="551" t="s">
        <v>2037</v>
      </c>
      <c r="K138" s="551" t="s">
        <v>449</v>
      </c>
      <c r="L138" s="551" t="s">
        <v>100</v>
      </c>
      <c r="M138" s="551" t="s">
        <v>100</v>
      </c>
    </row>
    <row r="139" spans="1:13" ht="15">
      <c r="A139" s="551" t="s">
        <v>451</v>
      </c>
      <c r="B139" s="551" t="s">
        <v>452</v>
      </c>
      <c r="C139" s="552">
        <v>76949.69</v>
      </c>
      <c r="D139" s="552">
        <v>382360.7</v>
      </c>
      <c r="E139" s="551" t="s">
        <v>156</v>
      </c>
      <c r="F139" s="551" t="s">
        <v>100</v>
      </c>
      <c r="G139" s="551" t="s">
        <v>1549</v>
      </c>
      <c r="H139" s="551" t="s">
        <v>100</v>
      </c>
      <c r="I139" s="551" t="s">
        <v>2038</v>
      </c>
      <c r="J139" s="551" t="s">
        <v>2037</v>
      </c>
      <c r="K139" s="551" t="s">
        <v>451</v>
      </c>
      <c r="L139" s="551" t="s">
        <v>100</v>
      </c>
      <c r="M139" s="551" t="s">
        <v>100</v>
      </c>
    </row>
    <row r="140" spans="1:13" ht="15">
      <c r="A140" s="551" t="s">
        <v>453</v>
      </c>
      <c r="B140" s="551" t="s">
        <v>454</v>
      </c>
      <c r="C140" s="552">
        <v>0</v>
      </c>
      <c r="D140" s="552">
        <v>0</v>
      </c>
      <c r="E140" s="551" t="s">
        <v>156</v>
      </c>
      <c r="F140" s="551" t="s">
        <v>100</v>
      </c>
      <c r="G140" s="551" t="s">
        <v>1549</v>
      </c>
      <c r="H140" s="551" t="s">
        <v>100</v>
      </c>
      <c r="I140" s="551" t="s">
        <v>2038</v>
      </c>
      <c r="J140" s="551" t="s">
        <v>2037</v>
      </c>
      <c r="K140" s="551" t="s">
        <v>453</v>
      </c>
      <c r="L140" s="551" t="s">
        <v>100</v>
      </c>
      <c r="M140" s="551" t="s">
        <v>100</v>
      </c>
    </row>
    <row r="141" spans="1:13" ht="15">
      <c r="A141" s="551" t="s">
        <v>455</v>
      </c>
      <c r="B141" s="551" t="s">
        <v>456</v>
      </c>
      <c r="C141" s="552">
        <v>0</v>
      </c>
      <c r="D141" s="552">
        <v>0</v>
      </c>
      <c r="E141" s="551" t="s">
        <v>156</v>
      </c>
      <c r="F141" s="551" t="s">
        <v>100</v>
      </c>
      <c r="G141" s="551" t="s">
        <v>1549</v>
      </c>
      <c r="H141" s="551" t="s">
        <v>100</v>
      </c>
      <c r="I141" s="551" t="s">
        <v>2038</v>
      </c>
      <c r="J141" s="551" t="s">
        <v>2037</v>
      </c>
      <c r="K141" s="551" t="s">
        <v>455</v>
      </c>
      <c r="L141" s="551" t="s">
        <v>100</v>
      </c>
      <c r="M141" s="551" t="s">
        <v>100</v>
      </c>
    </row>
    <row r="142" spans="1:13" ht="15">
      <c r="A142" s="551" t="s">
        <v>457</v>
      </c>
      <c r="B142" s="551" t="s">
        <v>1575</v>
      </c>
      <c r="C142" s="552">
        <v>10901.15</v>
      </c>
      <c r="D142" s="552">
        <v>45532.34</v>
      </c>
      <c r="E142" s="551" t="s">
        <v>872</v>
      </c>
      <c r="F142" s="551" t="s">
        <v>100</v>
      </c>
      <c r="G142" s="551" t="s">
        <v>1549</v>
      </c>
      <c r="H142" s="551" t="s">
        <v>100</v>
      </c>
      <c r="I142" s="551" t="s">
        <v>2038</v>
      </c>
      <c r="J142" s="551" t="s">
        <v>2037</v>
      </c>
      <c r="K142" s="551" t="s">
        <v>457</v>
      </c>
      <c r="L142" s="551" t="s">
        <v>100</v>
      </c>
      <c r="M142" s="551" t="s">
        <v>100</v>
      </c>
    </row>
    <row r="143" spans="1:13" ht="15">
      <c r="A143" s="551" t="s">
        <v>459</v>
      </c>
      <c r="B143" s="551" t="s">
        <v>1576</v>
      </c>
      <c r="C143" s="552">
        <v>5812.9</v>
      </c>
      <c r="D143" s="552">
        <v>86776.95</v>
      </c>
      <c r="E143" s="551" t="s">
        <v>156</v>
      </c>
      <c r="F143" s="551" t="s">
        <v>100</v>
      </c>
      <c r="G143" s="551" t="s">
        <v>1549</v>
      </c>
      <c r="H143" s="551" t="s">
        <v>100</v>
      </c>
      <c r="I143" s="551" t="s">
        <v>2038</v>
      </c>
      <c r="J143" s="551" t="s">
        <v>2037</v>
      </c>
      <c r="K143" s="551" t="s">
        <v>459</v>
      </c>
      <c r="L143" s="551" t="s">
        <v>100</v>
      </c>
      <c r="M143" s="551" t="s">
        <v>100</v>
      </c>
    </row>
    <row r="144" spans="1:13" ht="15">
      <c r="A144" s="551" t="s">
        <v>461</v>
      </c>
      <c r="B144" s="551" t="s">
        <v>462</v>
      </c>
      <c r="C144" s="552">
        <v>276284.99</v>
      </c>
      <c r="D144" s="552">
        <v>1031998.12</v>
      </c>
      <c r="E144" s="551" t="s">
        <v>156</v>
      </c>
      <c r="F144" s="551" t="s">
        <v>100</v>
      </c>
      <c r="G144" s="551" t="s">
        <v>1550</v>
      </c>
      <c r="H144" s="551" t="s">
        <v>463</v>
      </c>
      <c r="I144" s="551" t="s">
        <v>2035</v>
      </c>
      <c r="J144" s="551" t="s">
        <v>100</v>
      </c>
      <c r="K144" s="551" t="s">
        <v>100</v>
      </c>
      <c r="L144" s="551" t="s">
        <v>100</v>
      </c>
      <c r="M144" s="551" t="s">
        <v>100</v>
      </c>
    </row>
    <row r="145" spans="1:13" ht="15">
      <c r="A145" s="551" t="s">
        <v>464</v>
      </c>
      <c r="B145" s="551" t="s">
        <v>465</v>
      </c>
      <c r="C145" s="552">
        <v>0</v>
      </c>
      <c r="D145" s="552">
        <v>0</v>
      </c>
      <c r="E145" s="551" t="s">
        <v>156</v>
      </c>
      <c r="F145" s="551" t="s">
        <v>100</v>
      </c>
      <c r="G145" s="551" t="s">
        <v>1548</v>
      </c>
      <c r="H145" s="551" t="s">
        <v>100</v>
      </c>
      <c r="I145" s="551" t="s">
        <v>2035</v>
      </c>
      <c r="J145" s="551" t="s">
        <v>100</v>
      </c>
      <c r="K145" s="551" t="s">
        <v>100</v>
      </c>
      <c r="L145" s="551" t="s">
        <v>100</v>
      </c>
      <c r="M145" s="551" t="s">
        <v>100</v>
      </c>
    </row>
    <row r="146" spans="1:13" ht="15">
      <c r="A146" s="551" t="s">
        <v>466</v>
      </c>
      <c r="B146" s="551" t="s">
        <v>467</v>
      </c>
      <c r="C146" s="552">
        <v>0</v>
      </c>
      <c r="D146" s="552">
        <v>0</v>
      </c>
      <c r="E146" s="551" t="s">
        <v>156</v>
      </c>
      <c r="F146" s="551" t="s">
        <v>100</v>
      </c>
      <c r="G146" s="551" t="s">
        <v>1548</v>
      </c>
      <c r="H146" s="551" t="s">
        <v>100</v>
      </c>
      <c r="I146" s="551" t="s">
        <v>2035</v>
      </c>
      <c r="J146" s="551" t="s">
        <v>100</v>
      </c>
      <c r="K146" s="551" t="s">
        <v>100</v>
      </c>
      <c r="L146" s="551" t="s">
        <v>100</v>
      </c>
      <c r="M146" s="551" t="s">
        <v>100</v>
      </c>
    </row>
    <row r="147" spans="1:13" ht="15">
      <c r="A147" s="551" t="s">
        <v>468</v>
      </c>
      <c r="B147" s="551" t="s">
        <v>469</v>
      </c>
      <c r="C147" s="552">
        <v>0</v>
      </c>
      <c r="D147" s="552">
        <v>0</v>
      </c>
      <c r="E147" s="551" t="s">
        <v>156</v>
      </c>
      <c r="F147" s="551" t="s">
        <v>100</v>
      </c>
      <c r="G147" s="551" t="s">
        <v>1548</v>
      </c>
      <c r="H147" s="551" t="s">
        <v>100</v>
      </c>
      <c r="I147" s="551" t="s">
        <v>2035</v>
      </c>
      <c r="J147" s="551" t="s">
        <v>100</v>
      </c>
      <c r="K147" s="551" t="s">
        <v>100</v>
      </c>
      <c r="L147" s="551" t="s">
        <v>100</v>
      </c>
      <c r="M147" s="551" t="s">
        <v>100</v>
      </c>
    </row>
    <row r="148" spans="1:13" ht="15">
      <c r="A148" s="551" t="s">
        <v>470</v>
      </c>
      <c r="B148" s="551" t="s">
        <v>155</v>
      </c>
      <c r="C148" s="552">
        <v>0</v>
      </c>
      <c r="D148" s="552">
        <v>0</v>
      </c>
      <c r="E148" s="551" t="s">
        <v>156</v>
      </c>
      <c r="F148" s="551" t="s">
        <v>100</v>
      </c>
      <c r="G148" s="551" t="s">
        <v>1548</v>
      </c>
      <c r="H148" s="551" t="s">
        <v>100</v>
      </c>
      <c r="I148" s="551" t="s">
        <v>2035</v>
      </c>
      <c r="J148" s="551" t="s">
        <v>100</v>
      </c>
      <c r="K148" s="551" t="s">
        <v>100</v>
      </c>
      <c r="L148" s="551" t="s">
        <v>100</v>
      </c>
      <c r="M148" s="551" t="s">
        <v>100</v>
      </c>
    </row>
    <row r="149" spans="1:13" ht="15">
      <c r="A149" s="551" t="s">
        <v>471</v>
      </c>
      <c r="B149" s="551" t="s">
        <v>472</v>
      </c>
      <c r="C149" s="552">
        <v>-500942.66</v>
      </c>
      <c r="D149" s="552">
        <v>-3585666.48</v>
      </c>
      <c r="E149" s="551" t="s">
        <v>156</v>
      </c>
      <c r="F149" s="551" t="s">
        <v>100</v>
      </c>
      <c r="G149" s="551" t="s">
        <v>1549</v>
      </c>
      <c r="H149" s="551" t="s">
        <v>100</v>
      </c>
      <c r="I149" s="551" t="s">
        <v>2036</v>
      </c>
      <c r="J149" s="551" t="s">
        <v>2037</v>
      </c>
      <c r="K149" s="551" t="s">
        <v>471</v>
      </c>
      <c r="L149" s="551" t="s">
        <v>100</v>
      </c>
      <c r="M149" s="551" t="s">
        <v>100</v>
      </c>
    </row>
    <row r="150" spans="1:13" ht="15">
      <c r="A150" s="551" t="s">
        <v>473</v>
      </c>
      <c r="B150" s="551" t="s">
        <v>474</v>
      </c>
      <c r="C150" s="552">
        <v>-215636</v>
      </c>
      <c r="D150" s="552">
        <v>-2035461</v>
      </c>
      <c r="E150" s="551" t="s">
        <v>156</v>
      </c>
      <c r="F150" s="551" t="s">
        <v>100</v>
      </c>
      <c r="G150" s="551" t="s">
        <v>1549</v>
      </c>
      <c r="H150" s="551" t="s">
        <v>100</v>
      </c>
      <c r="I150" s="551" t="s">
        <v>2036</v>
      </c>
      <c r="J150" s="551" t="s">
        <v>2037</v>
      </c>
      <c r="K150" s="551" t="s">
        <v>471</v>
      </c>
      <c r="L150" s="551" t="s">
        <v>100</v>
      </c>
      <c r="M150" s="551" t="s">
        <v>100</v>
      </c>
    </row>
    <row r="151" spans="1:13" ht="15">
      <c r="A151" s="551" t="s">
        <v>478</v>
      </c>
      <c r="B151" s="551" t="s">
        <v>479</v>
      </c>
      <c r="C151" s="552">
        <v>27051.040000000001</v>
      </c>
      <c r="D151" s="552">
        <v>342446.14</v>
      </c>
      <c r="E151" s="551" t="s">
        <v>156</v>
      </c>
      <c r="F151" s="551" t="s">
        <v>100</v>
      </c>
      <c r="G151" s="551" t="s">
        <v>1549</v>
      </c>
      <c r="H151" s="551" t="s">
        <v>100</v>
      </c>
      <c r="I151" s="551" t="s">
        <v>2036</v>
      </c>
      <c r="J151" s="551" t="s">
        <v>2037</v>
      </c>
      <c r="K151" s="551" t="s">
        <v>471</v>
      </c>
      <c r="L151" s="551" t="s">
        <v>100</v>
      </c>
      <c r="M151" s="551" t="s">
        <v>100</v>
      </c>
    </row>
    <row r="152" spans="1:13" ht="15">
      <c r="A152" s="551" t="s">
        <v>480</v>
      </c>
      <c r="B152" s="551" t="s">
        <v>481</v>
      </c>
      <c r="C152" s="552">
        <v>-107361.05</v>
      </c>
      <c r="D152" s="552">
        <v>-1418828.52</v>
      </c>
      <c r="E152" s="551" t="s">
        <v>156</v>
      </c>
      <c r="F152" s="551" t="s">
        <v>100</v>
      </c>
      <c r="G152" s="551" t="s">
        <v>1549</v>
      </c>
      <c r="H152" s="551" t="s">
        <v>100</v>
      </c>
      <c r="I152" s="551" t="s">
        <v>2036</v>
      </c>
      <c r="J152" s="551" t="s">
        <v>2039</v>
      </c>
      <c r="K152" s="551" t="s">
        <v>480</v>
      </c>
      <c r="L152" s="551" t="s">
        <v>100</v>
      </c>
      <c r="M152" s="551" t="s">
        <v>100</v>
      </c>
    </row>
    <row r="153" spans="1:13" ht="15">
      <c r="A153" s="551" t="s">
        <v>482</v>
      </c>
      <c r="B153" s="551" t="s">
        <v>278</v>
      </c>
      <c r="C153" s="552">
        <v>-796888.67</v>
      </c>
      <c r="D153" s="552">
        <v>-6697509.8600000003</v>
      </c>
      <c r="E153" s="551" t="s">
        <v>156</v>
      </c>
      <c r="F153" s="551" t="s">
        <v>100</v>
      </c>
      <c r="G153" s="551" t="s">
        <v>1550</v>
      </c>
      <c r="H153" s="551" t="s">
        <v>483</v>
      </c>
      <c r="I153" s="551" t="s">
        <v>2035</v>
      </c>
      <c r="J153" s="551" t="s">
        <v>100</v>
      </c>
      <c r="K153" s="551" t="s">
        <v>100</v>
      </c>
      <c r="L153" s="551" t="s">
        <v>100</v>
      </c>
      <c r="M153" s="551" t="s">
        <v>100</v>
      </c>
    </row>
    <row r="154" spans="1:13" ht="15">
      <c r="A154" s="551" t="s">
        <v>484</v>
      </c>
      <c r="B154" s="551" t="s">
        <v>485</v>
      </c>
      <c r="C154" s="552">
        <v>0</v>
      </c>
      <c r="D154" s="552">
        <v>0</v>
      </c>
      <c r="E154" s="551" t="s">
        <v>156</v>
      </c>
      <c r="F154" s="551" t="s">
        <v>100</v>
      </c>
      <c r="G154" s="551" t="s">
        <v>1548</v>
      </c>
      <c r="H154" s="551" t="s">
        <v>100</v>
      </c>
      <c r="I154" s="551" t="s">
        <v>2035</v>
      </c>
      <c r="J154" s="551" t="s">
        <v>100</v>
      </c>
      <c r="K154" s="551" t="s">
        <v>100</v>
      </c>
      <c r="L154" s="551" t="s">
        <v>100</v>
      </c>
      <c r="M154" s="551" t="s">
        <v>100</v>
      </c>
    </row>
    <row r="155" spans="1:13" ht="15">
      <c r="A155" s="551" t="s">
        <v>486</v>
      </c>
      <c r="B155" s="551" t="s">
        <v>487</v>
      </c>
      <c r="C155" s="552">
        <v>23427.4</v>
      </c>
      <c r="D155" s="552">
        <v>121505.13</v>
      </c>
      <c r="E155" s="551" t="s">
        <v>156</v>
      </c>
      <c r="F155" s="551" t="s">
        <v>100</v>
      </c>
      <c r="G155" s="551" t="s">
        <v>1549</v>
      </c>
      <c r="H155" s="551" t="s">
        <v>100</v>
      </c>
      <c r="I155" s="551" t="s">
        <v>2035</v>
      </c>
      <c r="J155" s="551" t="s">
        <v>100</v>
      </c>
      <c r="K155" s="551" t="s">
        <v>100</v>
      </c>
      <c r="L155" s="551" t="s">
        <v>100</v>
      </c>
      <c r="M155" s="551" t="s">
        <v>100</v>
      </c>
    </row>
    <row r="156" spans="1:13" ht="15">
      <c r="A156" s="551" t="s">
        <v>488</v>
      </c>
      <c r="B156" s="551" t="s">
        <v>489</v>
      </c>
      <c r="C156" s="552">
        <v>131034.62</v>
      </c>
      <c r="D156" s="552">
        <v>392352.36</v>
      </c>
      <c r="E156" s="551" t="s">
        <v>156</v>
      </c>
      <c r="F156" s="551" t="s">
        <v>100</v>
      </c>
      <c r="G156" s="551" t="s">
        <v>1549</v>
      </c>
      <c r="H156" s="551" t="s">
        <v>100</v>
      </c>
      <c r="I156" s="551" t="s">
        <v>2038</v>
      </c>
      <c r="J156" s="551" t="s">
        <v>2037</v>
      </c>
      <c r="K156" s="551" t="s">
        <v>488</v>
      </c>
      <c r="L156" s="551" t="s">
        <v>100</v>
      </c>
      <c r="M156" s="551" t="s">
        <v>100</v>
      </c>
    </row>
    <row r="157" spans="1:13" ht="15">
      <c r="A157" s="551" t="s">
        <v>490</v>
      </c>
      <c r="B157" s="551" t="s">
        <v>491</v>
      </c>
      <c r="C157" s="552">
        <v>8253.98</v>
      </c>
      <c r="D157" s="552">
        <v>43708.31</v>
      </c>
      <c r="E157" s="551" t="s">
        <v>156</v>
      </c>
      <c r="F157" s="551" t="s">
        <v>100</v>
      </c>
      <c r="G157" s="551" t="s">
        <v>1549</v>
      </c>
      <c r="H157" s="551" t="s">
        <v>100</v>
      </c>
      <c r="I157" s="551" t="s">
        <v>2038</v>
      </c>
      <c r="J157" s="551" t="s">
        <v>2037</v>
      </c>
      <c r="K157" s="551" t="s">
        <v>490</v>
      </c>
      <c r="L157" s="551" t="s">
        <v>100</v>
      </c>
      <c r="M157" s="551" t="s">
        <v>100</v>
      </c>
    </row>
    <row r="158" spans="1:13" ht="15">
      <c r="A158" s="551" t="s">
        <v>492</v>
      </c>
      <c r="B158" s="551" t="s">
        <v>493</v>
      </c>
      <c r="C158" s="552">
        <v>-1947.92</v>
      </c>
      <c r="D158" s="552">
        <v>16659.41</v>
      </c>
      <c r="E158" s="551" t="s">
        <v>156</v>
      </c>
      <c r="F158" s="551" t="s">
        <v>100</v>
      </c>
      <c r="G158" s="551" t="s">
        <v>1549</v>
      </c>
      <c r="H158" s="551" t="s">
        <v>100</v>
      </c>
      <c r="I158" s="551" t="s">
        <v>2038</v>
      </c>
      <c r="J158" s="551" t="s">
        <v>2037</v>
      </c>
      <c r="K158" s="551" t="s">
        <v>100</v>
      </c>
      <c r="L158" s="551" t="s">
        <v>100</v>
      </c>
      <c r="M158" s="551" t="s">
        <v>100</v>
      </c>
    </row>
    <row r="159" spans="1:13" ht="15">
      <c r="A159" s="551" t="s">
        <v>494</v>
      </c>
      <c r="B159" s="551" t="s">
        <v>495</v>
      </c>
      <c r="C159" s="552">
        <v>49612.29</v>
      </c>
      <c r="D159" s="552">
        <v>213881.95</v>
      </c>
      <c r="E159" s="551" t="s">
        <v>156</v>
      </c>
      <c r="F159" s="551" t="s">
        <v>100</v>
      </c>
      <c r="G159" s="551" t="s">
        <v>1549</v>
      </c>
      <c r="H159" s="551" t="s">
        <v>100</v>
      </c>
      <c r="I159" s="551" t="s">
        <v>2038</v>
      </c>
      <c r="J159" s="551" t="s">
        <v>2037</v>
      </c>
      <c r="K159" s="551" t="s">
        <v>494</v>
      </c>
      <c r="L159" s="551" t="s">
        <v>100</v>
      </c>
      <c r="M159" s="551" t="s">
        <v>100</v>
      </c>
    </row>
    <row r="160" spans="1:13" ht="15">
      <c r="A160" s="551" t="s">
        <v>496</v>
      </c>
      <c r="B160" s="551" t="s">
        <v>497</v>
      </c>
      <c r="C160" s="552">
        <v>231163.09</v>
      </c>
      <c r="D160" s="552">
        <v>1174201.32</v>
      </c>
      <c r="E160" s="551" t="s">
        <v>156</v>
      </c>
      <c r="F160" s="551" t="s">
        <v>100</v>
      </c>
      <c r="G160" s="551" t="s">
        <v>1549</v>
      </c>
      <c r="H160" s="551" t="s">
        <v>100</v>
      </c>
      <c r="I160" s="551" t="s">
        <v>2038</v>
      </c>
      <c r="J160" s="551" t="s">
        <v>2037</v>
      </c>
      <c r="K160" s="551" t="s">
        <v>496</v>
      </c>
      <c r="L160" s="551" t="s">
        <v>100</v>
      </c>
      <c r="M160" s="551" t="s">
        <v>100</v>
      </c>
    </row>
    <row r="161" spans="1:13" ht="15">
      <c r="A161" s="551" t="s">
        <v>1578</v>
      </c>
      <c r="B161" s="551" t="s">
        <v>1579</v>
      </c>
      <c r="C161" s="552">
        <v>0</v>
      </c>
      <c r="D161" s="552">
        <v>43636.25</v>
      </c>
      <c r="E161" s="551" t="s">
        <v>156</v>
      </c>
      <c r="F161" s="551" t="s">
        <v>100</v>
      </c>
      <c r="G161" s="551" t="s">
        <v>1549</v>
      </c>
      <c r="H161" s="551" t="s">
        <v>100</v>
      </c>
      <c r="I161" s="551" t="s">
        <v>2038</v>
      </c>
      <c r="J161" s="551" t="s">
        <v>2037</v>
      </c>
      <c r="K161" s="551" t="s">
        <v>496</v>
      </c>
      <c r="L161" s="551" t="s">
        <v>100</v>
      </c>
      <c r="M161" s="551" t="s">
        <v>100</v>
      </c>
    </row>
    <row r="162" spans="1:13" ht="15">
      <c r="A162" s="551" t="s">
        <v>498</v>
      </c>
      <c r="B162" s="551" t="s">
        <v>499</v>
      </c>
      <c r="C162" s="552">
        <v>-17645.32</v>
      </c>
      <c r="D162" s="552">
        <v>-35130.99</v>
      </c>
      <c r="E162" s="551" t="s">
        <v>156</v>
      </c>
      <c r="F162" s="551" t="s">
        <v>100</v>
      </c>
      <c r="G162" s="551" t="s">
        <v>1549</v>
      </c>
      <c r="H162" s="551" t="s">
        <v>100</v>
      </c>
      <c r="I162" s="551" t="s">
        <v>2035</v>
      </c>
      <c r="J162" s="551" t="s">
        <v>2037</v>
      </c>
      <c r="K162" s="551" t="s">
        <v>498</v>
      </c>
      <c r="L162" s="551" t="s">
        <v>100</v>
      </c>
      <c r="M162" s="551" t="s">
        <v>100</v>
      </c>
    </row>
    <row r="163" spans="1:13" ht="15">
      <c r="A163" s="551" t="s">
        <v>500</v>
      </c>
      <c r="B163" s="551" t="s">
        <v>501</v>
      </c>
      <c r="C163" s="552">
        <v>10322.5</v>
      </c>
      <c r="D163" s="552">
        <v>53249.59</v>
      </c>
      <c r="E163" s="551" t="s">
        <v>156</v>
      </c>
      <c r="F163" s="551" t="s">
        <v>100</v>
      </c>
      <c r="G163" s="551" t="s">
        <v>1549</v>
      </c>
      <c r="H163" s="551" t="s">
        <v>100</v>
      </c>
      <c r="I163" s="551" t="s">
        <v>2038</v>
      </c>
      <c r="J163" s="551" t="s">
        <v>2037</v>
      </c>
      <c r="K163" s="551" t="s">
        <v>500</v>
      </c>
      <c r="L163" s="551" t="s">
        <v>100</v>
      </c>
      <c r="M163" s="551" t="s">
        <v>100</v>
      </c>
    </row>
    <row r="164" spans="1:13" ht="15">
      <c r="A164" s="551" t="s">
        <v>502</v>
      </c>
      <c r="B164" s="551" t="s">
        <v>503</v>
      </c>
      <c r="C164" s="552">
        <v>434220.64</v>
      </c>
      <c r="D164" s="552">
        <v>2024063.33</v>
      </c>
      <c r="E164" s="551" t="s">
        <v>156</v>
      </c>
      <c r="F164" s="551" t="s">
        <v>100</v>
      </c>
      <c r="G164" s="551" t="s">
        <v>1550</v>
      </c>
      <c r="H164" s="551" t="s">
        <v>504</v>
      </c>
      <c r="I164" s="551" t="s">
        <v>2035</v>
      </c>
      <c r="J164" s="551" t="s">
        <v>100</v>
      </c>
      <c r="K164" s="551" t="s">
        <v>100</v>
      </c>
      <c r="L164" s="551" t="s">
        <v>100</v>
      </c>
      <c r="M164" s="551" t="s">
        <v>100</v>
      </c>
    </row>
    <row r="165" spans="1:13" ht="15">
      <c r="A165" s="551" t="s">
        <v>505</v>
      </c>
      <c r="B165" s="551" t="s">
        <v>284</v>
      </c>
      <c r="C165" s="552">
        <v>0</v>
      </c>
      <c r="D165" s="552">
        <v>0</v>
      </c>
      <c r="E165" s="551" t="s">
        <v>156</v>
      </c>
      <c r="F165" s="551" t="s">
        <v>100</v>
      </c>
      <c r="G165" s="551" t="s">
        <v>1548</v>
      </c>
      <c r="H165" s="551" t="s">
        <v>100</v>
      </c>
      <c r="I165" s="551" t="s">
        <v>2035</v>
      </c>
      <c r="J165" s="551" t="s">
        <v>100</v>
      </c>
      <c r="K165" s="551" t="s">
        <v>100</v>
      </c>
      <c r="L165" s="551" t="s">
        <v>100</v>
      </c>
      <c r="M165" s="551" t="s">
        <v>100</v>
      </c>
    </row>
    <row r="166" spans="1:13" ht="15">
      <c r="A166" s="551" t="s">
        <v>506</v>
      </c>
      <c r="B166" s="551" t="s">
        <v>507</v>
      </c>
      <c r="C166" s="552">
        <v>528626.28</v>
      </c>
      <c r="D166" s="552">
        <v>2890871.57</v>
      </c>
      <c r="E166" s="551" t="s">
        <v>156</v>
      </c>
      <c r="F166" s="551" t="s">
        <v>100</v>
      </c>
      <c r="G166" s="551" t="s">
        <v>1549</v>
      </c>
      <c r="H166" s="551" t="s">
        <v>100</v>
      </c>
      <c r="I166" s="551" t="s">
        <v>2035</v>
      </c>
      <c r="J166" s="551" t="s">
        <v>100</v>
      </c>
      <c r="K166" s="551" t="s">
        <v>100</v>
      </c>
      <c r="L166" s="551" t="s">
        <v>100</v>
      </c>
      <c r="M166" s="551" t="s">
        <v>100</v>
      </c>
    </row>
    <row r="167" spans="1:13" ht="15">
      <c r="A167" s="551" t="s">
        <v>508</v>
      </c>
      <c r="B167" s="551" t="s">
        <v>300</v>
      </c>
      <c r="C167" s="552">
        <v>25554.92</v>
      </c>
      <c r="D167" s="552">
        <v>75332.44</v>
      </c>
      <c r="E167" s="551" t="s">
        <v>156</v>
      </c>
      <c r="F167" s="551" t="s">
        <v>100</v>
      </c>
      <c r="G167" s="551" t="s">
        <v>1549</v>
      </c>
      <c r="H167" s="551" t="s">
        <v>100</v>
      </c>
      <c r="I167" s="551" t="s">
        <v>2035</v>
      </c>
      <c r="J167" s="551" t="s">
        <v>100</v>
      </c>
      <c r="K167" s="551" t="s">
        <v>100</v>
      </c>
      <c r="L167" s="551" t="s">
        <v>100</v>
      </c>
      <c r="M167" s="551" t="s">
        <v>100</v>
      </c>
    </row>
    <row r="168" spans="1:13" ht="15">
      <c r="A168" s="551" t="s">
        <v>509</v>
      </c>
      <c r="B168" s="551" t="s">
        <v>294</v>
      </c>
      <c r="C168" s="552">
        <v>-1171.83</v>
      </c>
      <c r="D168" s="552">
        <v>-28350.23</v>
      </c>
      <c r="E168" s="551" t="s">
        <v>156</v>
      </c>
      <c r="F168" s="551" t="s">
        <v>100</v>
      </c>
      <c r="G168" s="551" t="s">
        <v>1549</v>
      </c>
      <c r="H168" s="551" t="s">
        <v>100</v>
      </c>
      <c r="I168" s="551" t="s">
        <v>2035</v>
      </c>
      <c r="J168" s="551" t="s">
        <v>100</v>
      </c>
      <c r="K168" s="551" t="s">
        <v>100</v>
      </c>
      <c r="L168" s="551" t="s">
        <v>100</v>
      </c>
      <c r="M168" s="551" t="s">
        <v>100</v>
      </c>
    </row>
    <row r="169" spans="1:13" ht="15">
      <c r="A169" s="551" t="s">
        <v>510</v>
      </c>
      <c r="B169" s="551" t="s">
        <v>511</v>
      </c>
      <c r="C169" s="552">
        <v>31427.4</v>
      </c>
      <c r="D169" s="552">
        <v>160941.13</v>
      </c>
      <c r="E169" s="551" t="s">
        <v>156</v>
      </c>
      <c r="F169" s="551" t="s">
        <v>100</v>
      </c>
      <c r="G169" s="551" t="s">
        <v>1549</v>
      </c>
      <c r="H169" s="551" t="s">
        <v>100</v>
      </c>
      <c r="I169" s="551" t="s">
        <v>2035</v>
      </c>
      <c r="J169" s="551" t="s">
        <v>100</v>
      </c>
      <c r="K169" s="551" t="s">
        <v>100</v>
      </c>
      <c r="L169" s="551" t="s">
        <v>100</v>
      </c>
      <c r="M169" s="551" t="s">
        <v>100</v>
      </c>
    </row>
    <row r="170" spans="1:13" ht="15">
      <c r="A170" s="551" t="s">
        <v>512</v>
      </c>
      <c r="B170" s="551" t="s">
        <v>513</v>
      </c>
      <c r="C170" s="552">
        <v>57943.51</v>
      </c>
      <c r="D170" s="552">
        <v>330190.68</v>
      </c>
      <c r="E170" s="551" t="s">
        <v>156</v>
      </c>
      <c r="F170" s="551" t="s">
        <v>100</v>
      </c>
      <c r="G170" s="551" t="s">
        <v>1549</v>
      </c>
      <c r="H170" s="551" t="s">
        <v>100</v>
      </c>
      <c r="I170" s="551" t="s">
        <v>2035</v>
      </c>
      <c r="J170" s="551" t="s">
        <v>100</v>
      </c>
      <c r="K170" s="551" t="s">
        <v>100</v>
      </c>
      <c r="L170" s="551" t="s">
        <v>100</v>
      </c>
      <c r="M170" s="551" t="s">
        <v>100</v>
      </c>
    </row>
    <row r="171" spans="1:13" ht="15">
      <c r="A171" s="551" t="s">
        <v>514</v>
      </c>
      <c r="B171" s="551" t="s">
        <v>515</v>
      </c>
      <c r="C171" s="552">
        <v>15618</v>
      </c>
      <c r="D171" s="552">
        <v>-55987.66</v>
      </c>
      <c r="E171" s="551" t="s">
        <v>156</v>
      </c>
      <c r="F171" s="551" t="s">
        <v>100</v>
      </c>
      <c r="G171" s="551" t="s">
        <v>1549</v>
      </c>
      <c r="H171" s="551" t="s">
        <v>100</v>
      </c>
      <c r="I171" s="551" t="s">
        <v>2035</v>
      </c>
      <c r="J171" s="551" t="s">
        <v>100</v>
      </c>
      <c r="K171" s="551" t="s">
        <v>100</v>
      </c>
      <c r="L171" s="551" t="s">
        <v>100</v>
      </c>
      <c r="M171" s="551" t="s">
        <v>100</v>
      </c>
    </row>
    <row r="172" spans="1:13" ht="15">
      <c r="A172" s="551" t="s">
        <v>516</v>
      </c>
      <c r="B172" s="551" t="s">
        <v>306</v>
      </c>
      <c r="C172" s="552">
        <v>6437.58</v>
      </c>
      <c r="D172" s="552">
        <v>35879.61</v>
      </c>
      <c r="E172" s="551" t="s">
        <v>156</v>
      </c>
      <c r="F172" s="551" t="s">
        <v>100</v>
      </c>
      <c r="G172" s="551" t="s">
        <v>1549</v>
      </c>
      <c r="H172" s="551" t="s">
        <v>100</v>
      </c>
      <c r="I172" s="551" t="s">
        <v>2035</v>
      </c>
      <c r="J172" s="551" t="s">
        <v>100</v>
      </c>
      <c r="K172" s="551" t="s">
        <v>100</v>
      </c>
      <c r="L172" s="551" t="s">
        <v>100</v>
      </c>
      <c r="M172" s="551" t="s">
        <v>100</v>
      </c>
    </row>
    <row r="173" spans="1:13" ht="15">
      <c r="A173" s="551" t="s">
        <v>517</v>
      </c>
      <c r="B173" s="551" t="s">
        <v>317</v>
      </c>
      <c r="C173" s="552">
        <v>11113.52</v>
      </c>
      <c r="D173" s="552">
        <v>45885.97</v>
      </c>
      <c r="E173" s="551" t="s">
        <v>156</v>
      </c>
      <c r="F173" s="551" t="s">
        <v>100</v>
      </c>
      <c r="G173" s="551" t="s">
        <v>1549</v>
      </c>
      <c r="H173" s="551" t="s">
        <v>100</v>
      </c>
      <c r="I173" s="551" t="s">
        <v>2035</v>
      </c>
      <c r="J173" s="551" t="s">
        <v>100</v>
      </c>
      <c r="K173" s="551" t="s">
        <v>100</v>
      </c>
      <c r="L173" s="551" t="s">
        <v>100</v>
      </c>
      <c r="M173" s="551" t="s">
        <v>100</v>
      </c>
    </row>
    <row r="174" spans="1:13" ht="15">
      <c r="A174" s="551" t="s">
        <v>518</v>
      </c>
      <c r="B174" s="551" t="s">
        <v>519</v>
      </c>
      <c r="C174" s="552">
        <v>51323.71</v>
      </c>
      <c r="D174" s="552">
        <v>182543.87</v>
      </c>
      <c r="E174" s="551" t="s">
        <v>156</v>
      </c>
      <c r="F174" s="551" t="s">
        <v>100</v>
      </c>
      <c r="G174" s="551" t="s">
        <v>1549</v>
      </c>
      <c r="H174" s="551" t="s">
        <v>100</v>
      </c>
      <c r="I174" s="551" t="s">
        <v>2038</v>
      </c>
      <c r="J174" s="551" t="s">
        <v>2037</v>
      </c>
      <c r="K174" s="551" t="s">
        <v>518</v>
      </c>
      <c r="L174" s="551" t="s">
        <v>100</v>
      </c>
      <c r="M174" s="551" t="s">
        <v>100</v>
      </c>
    </row>
    <row r="175" spans="1:13" ht="15">
      <c r="A175" s="551" t="s">
        <v>520</v>
      </c>
      <c r="B175" s="551" t="s">
        <v>1558</v>
      </c>
      <c r="C175" s="552">
        <v>0</v>
      </c>
      <c r="D175" s="552">
        <v>30624.87</v>
      </c>
      <c r="E175" s="551" t="s">
        <v>156</v>
      </c>
      <c r="F175" s="551" t="s">
        <v>100</v>
      </c>
      <c r="G175" s="551" t="s">
        <v>1549</v>
      </c>
      <c r="H175" s="551" t="s">
        <v>100</v>
      </c>
      <c r="I175" s="551" t="s">
        <v>2035</v>
      </c>
      <c r="J175" s="551" t="s">
        <v>100</v>
      </c>
      <c r="K175" s="551" t="s">
        <v>100</v>
      </c>
      <c r="L175" s="551" t="s">
        <v>100</v>
      </c>
      <c r="M175" s="551" t="s">
        <v>100</v>
      </c>
    </row>
    <row r="176" spans="1:13" ht="15">
      <c r="A176" s="551" t="s">
        <v>522</v>
      </c>
      <c r="B176" s="551" t="s">
        <v>216</v>
      </c>
      <c r="C176" s="552">
        <v>0</v>
      </c>
      <c r="D176" s="552">
        <v>0</v>
      </c>
      <c r="E176" s="551" t="s">
        <v>156</v>
      </c>
      <c r="F176" s="551" t="s">
        <v>100</v>
      </c>
      <c r="G176" s="551" t="s">
        <v>1549</v>
      </c>
      <c r="H176" s="551" t="s">
        <v>100</v>
      </c>
      <c r="I176" s="551" t="s">
        <v>2035</v>
      </c>
      <c r="J176" s="551" t="s">
        <v>100</v>
      </c>
      <c r="K176" s="551" t="s">
        <v>100</v>
      </c>
      <c r="L176" s="551" t="s">
        <v>100</v>
      </c>
      <c r="M176" s="551" t="s">
        <v>100</v>
      </c>
    </row>
    <row r="177" spans="1:13" ht="15">
      <c r="A177" s="551" t="s">
        <v>523</v>
      </c>
      <c r="B177" s="551" t="s">
        <v>524</v>
      </c>
      <c r="C177" s="552">
        <v>-2500</v>
      </c>
      <c r="D177" s="552">
        <v>-14500</v>
      </c>
      <c r="E177" s="551" t="s">
        <v>156</v>
      </c>
      <c r="F177" s="551" t="s">
        <v>100</v>
      </c>
      <c r="G177" s="551" t="s">
        <v>1549</v>
      </c>
      <c r="H177" s="551" t="s">
        <v>100</v>
      </c>
      <c r="I177" s="551" t="s">
        <v>2035</v>
      </c>
      <c r="J177" s="551" t="s">
        <v>100</v>
      </c>
      <c r="K177" s="551" t="s">
        <v>100</v>
      </c>
      <c r="L177" s="551" t="s">
        <v>100</v>
      </c>
      <c r="M177" s="551" t="s">
        <v>100</v>
      </c>
    </row>
    <row r="178" spans="1:13" ht="15">
      <c r="A178" s="551" t="s">
        <v>525</v>
      </c>
      <c r="B178" s="551" t="s">
        <v>526</v>
      </c>
      <c r="C178" s="552">
        <v>-12437.5</v>
      </c>
      <c r="D178" s="552">
        <v>-119368.45</v>
      </c>
      <c r="E178" s="551" t="s">
        <v>156</v>
      </c>
      <c r="F178" s="551" t="s">
        <v>100</v>
      </c>
      <c r="G178" s="551" t="s">
        <v>1549</v>
      </c>
      <c r="H178" s="551" t="s">
        <v>100</v>
      </c>
      <c r="I178" s="551" t="s">
        <v>2035</v>
      </c>
      <c r="J178" s="551" t="s">
        <v>100</v>
      </c>
      <c r="K178" s="551" t="s">
        <v>100</v>
      </c>
      <c r="L178" s="551" t="s">
        <v>100</v>
      </c>
      <c r="M178" s="551" t="s">
        <v>100</v>
      </c>
    </row>
    <row r="179" spans="1:13" ht="15">
      <c r="A179" s="551" t="s">
        <v>527</v>
      </c>
      <c r="B179" s="551" t="s">
        <v>341</v>
      </c>
      <c r="C179" s="552">
        <v>711935.59</v>
      </c>
      <c r="D179" s="552">
        <v>3534063.8</v>
      </c>
      <c r="E179" s="551" t="s">
        <v>156</v>
      </c>
      <c r="F179" s="551" t="s">
        <v>100</v>
      </c>
      <c r="G179" s="551" t="s">
        <v>1550</v>
      </c>
      <c r="H179" s="551" t="s">
        <v>528</v>
      </c>
      <c r="I179" s="551" t="s">
        <v>2035</v>
      </c>
      <c r="J179" s="551" t="s">
        <v>100</v>
      </c>
      <c r="K179" s="551" t="s">
        <v>100</v>
      </c>
      <c r="L179" s="551" t="s">
        <v>100</v>
      </c>
      <c r="M179" s="551" t="s">
        <v>100</v>
      </c>
    </row>
    <row r="180" spans="1:13" ht="15">
      <c r="A180" s="551" t="s">
        <v>529</v>
      </c>
      <c r="B180" s="551" t="s">
        <v>530</v>
      </c>
      <c r="C180" s="552">
        <v>0</v>
      </c>
      <c r="D180" s="552">
        <v>0</v>
      </c>
      <c r="E180" s="551" t="s">
        <v>156</v>
      </c>
      <c r="F180" s="551" t="s">
        <v>100</v>
      </c>
      <c r="G180" s="551" t="s">
        <v>1548</v>
      </c>
      <c r="H180" s="551" t="s">
        <v>100</v>
      </c>
      <c r="I180" s="551" t="s">
        <v>2035</v>
      </c>
      <c r="J180" s="551" t="s">
        <v>100</v>
      </c>
      <c r="K180" s="551" t="s">
        <v>100</v>
      </c>
      <c r="L180" s="551" t="s">
        <v>100</v>
      </c>
      <c r="M180" s="551" t="s">
        <v>100</v>
      </c>
    </row>
    <row r="181" spans="1:13" ht="15">
      <c r="A181" s="551" t="s">
        <v>531</v>
      </c>
      <c r="B181" s="551" t="s">
        <v>532</v>
      </c>
      <c r="C181" s="552">
        <v>5143.97</v>
      </c>
      <c r="D181" s="552">
        <v>13272.71</v>
      </c>
      <c r="E181" s="551" t="s">
        <v>156</v>
      </c>
      <c r="F181" s="551" t="s">
        <v>100</v>
      </c>
      <c r="G181" s="551" t="s">
        <v>1549</v>
      </c>
      <c r="H181" s="551" t="s">
        <v>100</v>
      </c>
      <c r="I181" s="551" t="s">
        <v>2038</v>
      </c>
      <c r="J181" s="551" t="s">
        <v>2037</v>
      </c>
      <c r="K181" s="551" t="s">
        <v>531</v>
      </c>
      <c r="L181" s="551" t="s">
        <v>100</v>
      </c>
      <c r="M181" s="551" t="s">
        <v>100</v>
      </c>
    </row>
    <row r="182" spans="1:13" ht="15">
      <c r="A182" s="551" t="s">
        <v>533</v>
      </c>
      <c r="B182" s="551" t="s">
        <v>534</v>
      </c>
      <c r="C182" s="552">
        <v>3966.2</v>
      </c>
      <c r="D182" s="552">
        <v>19391.78</v>
      </c>
      <c r="E182" s="551" t="s">
        <v>156</v>
      </c>
      <c r="F182" s="551" t="s">
        <v>100</v>
      </c>
      <c r="G182" s="551" t="s">
        <v>1549</v>
      </c>
      <c r="H182" s="551" t="s">
        <v>100</v>
      </c>
      <c r="I182" s="551" t="s">
        <v>2038</v>
      </c>
      <c r="J182" s="551" t="s">
        <v>2037</v>
      </c>
      <c r="K182" s="551" t="s">
        <v>533</v>
      </c>
      <c r="L182" s="551" t="s">
        <v>100</v>
      </c>
      <c r="M182" s="551" t="s">
        <v>100</v>
      </c>
    </row>
    <row r="183" spans="1:13" ht="15">
      <c r="A183" s="551" t="s">
        <v>535</v>
      </c>
      <c r="B183" s="551" t="s">
        <v>536</v>
      </c>
      <c r="C183" s="552">
        <v>0</v>
      </c>
      <c r="D183" s="552">
        <v>17590.990000000002</v>
      </c>
      <c r="E183" s="551" t="s">
        <v>156</v>
      </c>
      <c r="F183" s="551" t="s">
        <v>100</v>
      </c>
      <c r="G183" s="551" t="s">
        <v>1549</v>
      </c>
      <c r="H183" s="551" t="s">
        <v>100</v>
      </c>
      <c r="I183" s="551" t="s">
        <v>2038</v>
      </c>
      <c r="J183" s="551" t="s">
        <v>2037</v>
      </c>
      <c r="K183" s="551" t="s">
        <v>535</v>
      </c>
      <c r="L183" s="551" t="s">
        <v>100</v>
      </c>
      <c r="M183" s="551" t="s">
        <v>100</v>
      </c>
    </row>
    <row r="184" spans="1:13" ht="15">
      <c r="A184" s="551" t="s">
        <v>537</v>
      </c>
      <c r="B184" s="551" t="s">
        <v>538</v>
      </c>
      <c r="C184" s="552">
        <v>0</v>
      </c>
      <c r="D184" s="552">
        <v>0</v>
      </c>
      <c r="E184" s="551" t="s">
        <v>156</v>
      </c>
      <c r="F184" s="551" t="s">
        <v>100</v>
      </c>
      <c r="G184" s="551" t="s">
        <v>1549</v>
      </c>
      <c r="H184" s="551" t="s">
        <v>100</v>
      </c>
      <c r="I184" s="551" t="s">
        <v>2038</v>
      </c>
      <c r="J184" s="551" t="s">
        <v>100</v>
      </c>
      <c r="K184" s="551" t="s">
        <v>100</v>
      </c>
      <c r="L184" s="551" t="s">
        <v>100</v>
      </c>
      <c r="M184" s="551" t="s">
        <v>100</v>
      </c>
    </row>
    <row r="185" spans="1:13" ht="15">
      <c r="A185" s="551" t="s">
        <v>539</v>
      </c>
      <c r="B185" s="551" t="s">
        <v>540</v>
      </c>
      <c r="C185" s="552">
        <v>294623.73</v>
      </c>
      <c r="D185" s="552">
        <v>617659.11</v>
      </c>
      <c r="E185" s="551" t="s">
        <v>156</v>
      </c>
      <c r="F185" s="551" t="s">
        <v>100</v>
      </c>
      <c r="G185" s="551" t="s">
        <v>1549</v>
      </c>
      <c r="H185" s="551" t="s">
        <v>100</v>
      </c>
      <c r="I185" s="551" t="s">
        <v>2038</v>
      </c>
      <c r="J185" s="551" t="s">
        <v>2037</v>
      </c>
      <c r="K185" s="551" t="s">
        <v>539</v>
      </c>
      <c r="L185" s="551" t="s">
        <v>100</v>
      </c>
      <c r="M185" s="551" t="s">
        <v>100</v>
      </c>
    </row>
    <row r="186" spans="1:13" ht="15">
      <c r="A186" s="551" t="s">
        <v>541</v>
      </c>
      <c r="B186" s="551" t="s">
        <v>542</v>
      </c>
      <c r="C186" s="552">
        <v>0</v>
      </c>
      <c r="D186" s="552">
        <v>0</v>
      </c>
      <c r="E186" s="551" t="s">
        <v>156</v>
      </c>
      <c r="F186" s="551" t="s">
        <v>100</v>
      </c>
      <c r="G186" s="551" t="s">
        <v>1549</v>
      </c>
      <c r="H186" s="551" t="s">
        <v>100</v>
      </c>
      <c r="I186" s="551" t="s">
        <v>2038</v>
      </c>
      <c r="J186" s="551" t="s">
        <v>2037</v>
      </c>
      <c r="K186" s="551" t="s">
        <v>541</v>
      </c>
      <c r="L186" s="551" t="s">
        <v>100</v>
      </c>
      <c r="M186" s="551" t="s">
        <v>100</v>
      </c>
    </row>
    <row r="187" spans="1:13" ht="15">
      <c r="A187" s="551" t="s">
        <v>543</v>
      </c>
      <c r="B187" s="551" t="s">
        <v>544</v>
      </c>
      <c r="C187" s="552">
        <v>5433.5</v>
      </c>
      <c r="D187" s="552">
        <v>51635.14</v>
      </c>
      <c r="E187" s="551" t="s">
        <v>156</v>
      </c>
      <c r="F187" s="551" t="s">
        <v>100</v>
      </c>
      <c r="G187" s="551" t="s">
        <v>1549</v>
      </c>
      <c r="H187" s="551" t="s">
        <v>100</v>
      </c>
      <c r="I187" s="551" t="s">
        <v>2038</v>
      </c>
      <c r="J187" s="551" t="s">
        <v>2037</v>
      </c>
      <c r="K187" s="551" t="s">
        <v>543</v>
      </c>
      <c r="L187" s="551" t="s">
        <v>100</v>
      </c>
      <c r="M187" s="551" t="s">
        <v>100</v>
      </c>
    </row>
    <row r="188" spans="1:13" ht="15">
      <c r="A188" s="551" t="s">
        <v>545</v>
      </c>
      <c r="B188" s="551" t="s">
        <v>546</v>
      </c>
      <c r="C188" s="552">
        <v>10562.5</v>
      </c>
      <c r="D188" s="552">
        <v>50341.87</v>
      </c>
      <c r="E188" s="551" t="s">
        <v>156</v>
      </c>
      <c r="F188" s="551" t="s">
        <v>100</v>
      </c>
      <c r="G188" s="551" t="s">
        <v>1549</v>
      </c>
      <c r="H188" s="551" t="s">
        <v>100</v>
      </c>
      <c r="I188" s="551" t="s">
        <v>2038</v>
      </c>
      <c r="J188" s="551" t="s">
        <v>2037</v>
      </c>
      <c r="K188" s="551" t="s">
        <v>545</v>
      </c>
      <c r="L188" s="551" t="s">
        <v>100</v>
      </c>
      <c r="M188" s="551" t="s">
        <v>100</v>
      </c>
    </row>
    <row r="189" spans="1:13" ht="15">
      <c r="A189" s="551" t="s">
        <v>547</v>
      </c>
      <c r="B189" s="551" t="s">
        <v>548</v>
      </c>
      <c r="C189" s="552">
        <v>319729.90000000002</v>
      </c>
      <c r="D189" s="552">
        <v>769891.6</v>
      </c>
      <c r="E189" s="551" t="s">
        <v>156</v>
      </c>
      <c r="F189" s="551" t="s">
        <v>100</v>
      </c>
      <c r="G189" s="551" t="s">
        <v>1550</v>
      </c>
      <c r="H189" s="551" t="s">
        <v>549</v>
      </c>
      <c r="I189" s="551" t="s">
        <v>2035</v>
      </c>
      <c r="J189" s="551" t="s">
        <v>100</v>
      </c>
      <c r="K189" s="551" t="s">
        <v>100</v>
      </c>
      <c r="L189" s="551" t="s">
        <v>100</v>
      </c>
      <c r="M189" s="551" t="s">
        <v>100</v>
      </c>
    </row>
    <row r="190" spans="1:13" ht="15">
      <c r="A190" s="551" t="s">
        <v>550</v>
      </c>
      <c r="B190" s="551" t="s">
        <v>551</v>
      </c>
      <c r="C190" s="552">
        <v>0</v>
      </c>
      <c r="D190" s="552">
        <v>0</v>
      </c>
      <c r="E190" s="551" t="s">
        <v>156</v>
      </c>
      <c r="F190" s="551" t="s">
        <v>100</v>
      </c>
      <c r="G190" s="551" t="s">
        <v>1548</v>
      </c>
      <c r="H190" s="551" t="s">
        <v>100</v>
      </c>
      <c r="I190" s="551" t="s">
        <v>2035</v>
      </c>
      <c r="J190" s="551" t="s">
        <v>100</v>
      </c>
      <c r="K190" s="551" t="s">
        <v>100</v>
      </c>
      <c r="L190" s="551" t="s">
        <v>100</v>
      </c>
      <c r="M190" s="551" t="s">
        <v>100</v>
      </c>
    </row>
    <row r="191" spans="1:13" ht="15">
      <c r="A191" s="551" t="s">
        <v>552</v>
      </c>
      <c r="B191" s="551" t="s">
        <v>553</v>
      </c>
      <c r="C191" s="552">
        <v>58951.25</v>
      </c>
      <c r="D191" s="552">
        <v>104838.75</v>
      </c>
      <c r="E191" s="551" t="s">
        <v>156</v>
      </c>
      <c r="F191" s="551" t="s">
        <v>100</v>
      </c>
      <c r="G191" s="551" t="s">
        <v>1549</v>
      </c>
      <c r="H191" s="551" t="s">
        <v>100</v>
      </c>
      <c r="I191" s="551" t="s">
        <v>2038</v>
      </c>
      <c r="J191" s="551" t="s">
        <v>2037</v>
      </c>
      <c r="K191" s="551" t="s">
        <v>552</v>
      </c>
      <c r="L191" s="551" t="s">
        <v>100</v>
      </c>
      <c r="M191" s="551" t="s">
        <v>100</v>
      </c>
    </row>
    <row r="192" spans="1:13" ht="15">
      <c r="A192" s="551" t="s">
        <v>554</v>
      </c>
      <c r="B192" s="551" t="s">
        <v>555</v>
      </c>
      <c r="C192" s="552">
        <v>47256.12</v>
      </c>
      <c r="D192" s="552">
        <v>147439.43</v>
      </c>
      <c r="E192" s="551" t="s">
        <v>156</v>
      </c>
      <c r="F192" s="551" t="s">
        <v>100</v>
      </c>
      <c r="G192" s="551" t="s">
        <v>1549</v>
      </c>
      <c r="H192" s="551" t="s">
        <v>100</v>
      </c>
      <c r="I192" s="551" t="s">
        <v>2038</v>
      </c>
      <c r="J192" s="551" t="s">
        <v>2037</v>
      </c>
      <c r="K192" s="551" t="s">
        <v>554</v>
      </c>
      <c r="L192" s="551" t="s">
        <v>100</v>
      </c>
      <c r="M192" s="551" t="s">
        <v>100</v>
      </c>
    </row>
    <row r="193" spans="1:13" ht="15">
      <c r="A193" s="551" t="s">
        <v>556</v>
      </c>
      <c r="B193" s="551" t="s">
        <v>1580</v>
      </c>
      <c r="C193" s="552">
        <v>267492.42</v>
      </c>
      <c r="D193" s="552">
        <v>1080338.75</v>
      </c>
      <c r="E193" s="551" t="s">
        <v>156</v>
      </c>
      <c r="F193" s="551" t="s">
        <v>100</v>
      </c>
      <c r="G193" s="551" t="s">
        <v>1549</v>
      </c>
      <c r="H193" s="551" t="s">
        <v>100</v>
      </c>
      <c r="I193" s="551" t="s">
        <v>2038</v>
      </c>
      <c r="J193" s="551" t="s">
        <v>2037</v>
      </c>
      <c r="K193" s="551" t="s">
        <v>556</v>
      </c>
      <c r="L193" s="551" t="s">
        <v>100</v>
      </c>
      <c r="M193" s="551" t="s">
        <v>100</v>
      </c>
    </row>
    <row r="194" spans="1:13" ht="15">
      <c r="A194" s="551" t="s">
        <v>558</v>
      </c>
      <c r="B194" s="551" t="s">
        <v>559</v>
      </c>
      <c r="C194" s="552">
        <v>16573.03</v>
      </c>
      <c r="D194" s="552">
        <v>67217.440000000002</v>
      </c>
      <c r="E194" s="551" t="s">
        <v>156</v>
      </c>
      <c r="F194" s="551" t="s">
        <v>100</v>
      </c>
      <c r="G194" s="551" t="s">
        <v>1549</v>
      </c>
      <c r="H194" s="551" t="s">
        <v>100</v>
      </c>
      <c r="I194" s="551" t="s">
        <v>2038</v>
      </c>
      <c r="J194" s="551" t="s">
        <v>2037</v>
      </c>
      <c r="K194" s="551" t="s">
        <v>558</v>
      </c>
      <c r="L194" s="551" t="s">
        <v>100</v>
      </c>
      <c r="M194" s="551" t="s">
        <v>100</v>
      </c>
    </row>
    <row r="195" spans="1:13" ht="15">
      <c r="A195" s="551" t="s">
        <v>560</v>
      </c>
      <c r="B195" s="551" t="s">
        <v>561</v>
      </c>
      <c r="C195" s="552">
        <v>10863.69</v>
      </c>
      <c r="D195" s="552">
        <v>44827.47</v>
      </c>
      <c r="E195" s="551" t="s">
        <v>156</v>
      </c>
      <c r="F195" s="551" t="s">
        <v>100</v>
      </c>
      <c r="G195" s="551" t="s">
        <v>1549</v>
      </c>
      <c r="H195" s="551" t="s">
        <v>100</v>
      </c>
      <c r="I195" s="551" t="s">
        <v>2038</v>
      </c>
      <c r="J195" s="551" t="s">
        <v>2037</v>
      </c>
      <c r="K195" s="551" t="s">
        <v>560</v>
      </c>
      <c r="L195" s="551" t="s">
        <v>100</v>
      </c>
      <c r="M195" s="551" t="s">
        <v>100</v>
      </c>
    </row>
    <row r="196" spans="1:13" ht="15">
      <c r="A196" s="551" t="s">
        <v>562</v>
      </c>
      <c r="B196" s="551" t="s">
        <v>563</v>
      </c>
      <c r="C196" s="552">
        <v>42830.12</v>
      </c>
      <c r="D196" s="552">
        <v>203145.89</v>
      </c>
      <c r="E196" s="551" t="s">
        <v>156</v>
      </c>
      <c r="F196" s="551" t="s">
        <v>100</v>
      </c>
      <c r="G196" s="551" t="s">
        <v>1549</v>
      </c>
      <c r="H196" s="551" t="s">
        <v>100</v>
      </c>
      <c r="I196" s="551" t="s">
        <v>2038</v>
      </c>
      <c r="J196" s="551" t="s">
        <v>2037</v>
      </c>
      <c r="K196" s="551" t="s">
        <v>562</v>
      </c>
      <c r="L196" s="551" t="s">
        <v>100</v>
      </c>
      <c r="M196" s="551" t="s">
        <v>100</v>
      </c>
    </row>
    <row r="197" spans="1:13" ht="15">
      <c r="A197" s="551" t="s">
        <v>564</v>
      </c>
      <c r="B197" s="551" t="s">
        <v>565</v>
      </c>
      <c r="C197" s="552">
        <v>14000</v>
      </c>
      <c r="D197" s="552">
        <v>70000</v>
      </c>
      <c r="E197" s="551" t="s">
        <v>156</v>
      </c>
      <c r="F197" s="551" t="s">
        <v>100</v>
      </c>
      <c r="G197" s="551" t="s">
        <v>1549</v>
      </c>
      <c r="H197" s="551" t="s">
        <v>100</v>
      </c>
      <c r="I197" s="551" t="s">
        <v>2038</v>
      </c>
      <c r="J197" s="551" t="s">
        <v>100</v>
      </c>
      <c r="K197" s="551" t="s">
        <v>100</v>
      </c>
      <c r="L197" s="551" t="s">
        <v>100</v>
      </c>
      <c r="M197" s="551" t="s">
        <v>100</v>
      </c>
    </row>
    <row r="198" spans="1:13" ht="15">
      <c r="A198" s="551" t="s">
        <v>1581</v>
      </c>
      <c r="B198" s="551" t="s">
        <v>1582</v>
      </c>
      <c r="C198" s="552">
        <v>22762.71</v>
      </c>
      <c r="D198" s="552">
        <v>113813.56</v>
      </c>
      <c r="E198" s="551" t="s">
        <v>156</v>
      </c>
      <c r="F198" s="551" t="s">
        <v>100</v>
      </c>
      <c r="G198" s="551" t="s">
        <v>1549</v>
      </c>
      <c r="H198" s="551" t="s">
        <v>100</v>
      </c>
      <c r="I198" s="551" t="s">
        <v>2035</v>
      </c>
      <c r="J198" s="551" t="s">
        <v>100</v>
      </c>
      <c r="K198" s="551" t="s">
        <v>100</v>
      </c>
      <c r="L198" s="551" t="s">
        <v>100</v>
      </c>
      <c r="M198" s="551" t="s">
        <v>100</v>
      </c>
    </row>
    <row r="199" spans="1:13" ht="15">
      <c r="A199" s="551" t="s">
        <v>566</v>
      </c>
      <c r="B199" s="551" t="s">
        <v>567</v>
      </c>
      <c r="C199" s="552">
        <v>480729.34</v>
      </c>
      <c r="D199" s="552">
        <v>1831621.29</v>
      </c>
      <c r="E199" s="551" t="s">
        <v>156</v>
      </c>
      <c r="F199" s="551" t="s">
        <v>100</v>
      </c>
      <c r="G199" s="551" t="s">
        <v>1550</v>
      </c>
      <c r="H199" s="551" t="s">
        <v>568</v>
      </c>
      <c r="I199" s="551" t="s">
        <v>2035</v>
      </c>
      <c r="J199" s="551" t="s">
        <v>100</v>
      </c>
      <c r="K199" s="551" t="s">
        <v>100</v>
      </c>
      <c r="L199" s="551" t="s">
        <v>100</v>
      </c>
      <c r="M199" s="551" t="s">
        <v>100</v>
      </c>
    </row>
    <row r="200" spans="1:13" ht="15">
      <c r="A200" s="551" t="s">
        <v>569</v>
      </c>
      <c r="B200" s="551" t="s">
        <v>570</v>
      </c>
      <c r="C200" s="552">
        <v>0</v>
      </c>
      <c r="D200" s="552">
        <v>0</v>
      </c>
      <c r="E200" s="551" t="s">
        <v>156</v>
      </c>
      <c r="F200" s="551" t="s">
        <v>100</v>
      </c>
      <c r="G200" s="551" t="s">
        <v>1548</v>
      </c>
      <c r="H200" s="551" t="s">
        <v>100</v>
      </c>
      <c r="I200" s="551" t="s">
        <v>2035</v>
      </c>
      <c r="J200" s="551" t="s">
        <v>100</v>
      </c>
      <c r="K200" s="551" t="s">
        <v>100</v>
      </c>
      <c r="L200" s="551" t="s">
        <v>100</v>
      </c>
      <c r="M200" s="551" t="s">
        <v>100</v>
      </c>
    </row>
    <row r="201" spans="1:13" ht="15">
      <c r="A201" s="551" t="s">
        <v>571</v>
      </c>
      <c r="B201" s="551" t="s">
        <v>572</v>
      </c>
      <c r="C201" s="552">
        <v>8358.2800000000007</v>
      </c>
      <c r="D201" s="552">
        <v>14311.51</v>
      </c>
      <c r="E201" s="551" t="s">
        <v>156</v>
      </c>
      <c r="F201" s="551" t="s">
        <v>100</v>
      </c>
      <c r="G201" s="551" t="s">
        <v>1549</v>
      </c>
      <c r="H201" s="551" t="s">
        <v>100</v>
      </c>
      <c r="I201" s="551" t="s">
        <v>2038</v>
      </c>
      <c r="J201" s="551" t="s">
        <v>2037</v>
      </c>
      <c r="K201" s="551" t="s">
        <v>571</v>
      </c>
      <c r="L201" s="551" t="s">
        <v>100</v>
      </c>
      <c r="M201" s="551" t="s">
        <v>100</v>
      </c>
    </row>
    <row r="202" spans="1:13" ht="15">
      <c r="A202" s="551" t="s">
        <v>573</v>
      </c>
      <c r="B202" s="551" t="s">
        <v>574</v>
      </c>
      <c r="C202" s="552">
        <v>3000</v>
      </c>
      <c r="D202" s="552">
        <v>15000</v>
      </c>
      <c r="E202" s="551" t="s">
        <v>156</v>
      </c>
      <c r="F202" s="551" t="s">
        <v>100</v>
      </c>
      <c r="G202" s="551" t="s">
        <v>1549</v>
      </c>
      <c r="H202" s="551" t="s">
        <v>100</v>
      </c>
      <c r="I202" s="551" t="s">
        <v>2038</v>
      </c>
      <c r="J202" s="551" t="s">
        <v>2037</v>
      </c>
      <c r="K202" s="551" t="s">
        <v>573</v>
      </c>
      <c r="L202" s="551" t="s">
        <v>100</v>
      </c>
      <c r="M202" s="551" t="s">
        <v>100</v>
      </c>
    </row>
    <row r="203" spans="1:13" ht="15">
      <c r="A203" s="551" t="s">
        <v>575</v>
      </c>
      <c r="B203" s="551" t="s">
        <v>576</v>
      </c>
      <c r="C203" s="552">
        <v>11358.28</v>
      </c>
      <c r="D203" s="552">
        <v>29311.51</v>
      </c>
      <c r="E203" s="551" t="s">
        <v>156</v>
      </c>
      <c r="F203" s="551" t="s">
        <v>100</v>
      </c>
      <c r="G203" s="551" t="s">
        <v>1550</v>
      </c>
      <c r="H203" s="551" t="s">
        <v>577</v>
      </c>
      <c r="I203" s="551" t="s">
        <v>2035</v>
      </c>
      <c r="J203" s="551" t="s">
        <v>100</v>
      </c>
      <c r="K203" s="551" t="s">
        <v>100</v>
      </c>
      <c r="L203" s="551" t="s">
        <v>100</v>
      </c>
      <c r="M203" s="551" t="s">
        <v>100</v>
      </c>
    </row>
    <row r="204" spans="1:13" ht="15">
      <c r="A204" s="551" t="s">
        <v>578</v>
      </c>
      <c r="B204" s="551" t="s">
        <v>579</v>
      </c>
      <c r="C204" s="552">
        <v>0</v>
      </c>
      <c r="D204" s="552">
        <v>0</v>
      </c>
      <c r="E204" s="551" t="s">
        <v>156</v>
      </c>
      <c r="F204" s="551" t="s">
        <v>100</v>
      </c>
      <c r="G204" s="551" t="s">
        <v>1548</v>
      </c>
      <c r="H204" s="551" t="s">
        <v>100</v>
      </c>
      <c r="I204" s="551" t="s">
        <v>2035</v>
      </c>
      <c r="J204" s="551" t="s">
        <v>100</v>
      </c>
      <c r="K204" s="551" t="s">
        <v>100</v>
      </c>
      <c r="L204" s="551" t="s">
        <v>100</v>
      </c>
      <c r="M204" s="551" t="s">
        <v>100</v>
      </c>
    </row>
    <row r="205" spans="1:13" ht="15">
      <c r="A205" s="551" t="s">
        <v>580</v>
      </c>
      <c r="B205" s="551" t="s">
        <v>581</v>
      </c>
      <c r="C205" s="552">
        <v>23729.3</v>
      </c>
      <c r="D205" s="552">
        <v>98085.55</v>
      </c>
      <c r="E205" s="551" t="s">
        <v>156</v>
      </c>
      <c r="F205" s="551" t="s">
        <v>100</v>
      </c>
      <c r="G205" s="551" t="s">
        <v>1549</v>
      </c>
      <c r="H205" s="551" t="s">
        <v>100</v>
      </c>
      <c r="I205" s="551" t="s">
        <v>2038</v>
      </c>
      <c r="J205" s="551" t="s">
        <v>2037</v>
      </c>
      <c r="K205" s="551" t="s">
        <v>580</v>
      </c>
      <c r="L205" s="551" t="s">
        <v>100</v>
      </c>
      <c r="M205" s="551" t="s">
        <v>100</v>
      </c>
    </row>
    <row r="206" spans="1:13" ht="15">
      <c r="A206" s="551" t="s">
        <v>582</v>
      </c>
      <c r="B206" s="551" t="s">
        <v>583</v>
      </c>
      <c r="C206" s="552">
        <v>40110.54</v>
      </c>
      <c r="D206" s="552">
        <v>241017.59</v>
      </c>
      <c r="E206" s="551" t="s">
        <v>156</v>
      </c>
      <c r="F206" s="551" t="s">
        <v>100</v>
      </c>
      <c r="G206" s="551" t="s">
        <v>1549</v>
      </c>
      <c r="H206" s="551" t="s">
        <v>100</v>
      </c>
      <c r="I206" s="551" t="s">
        <v>2035</v>
      </c>
      <c r="J206" s="551" t="s">
        <v>100</v>
      </c>
      <c r="K206" s="551" t="s">
        <v>100</v>
      </c>
      <c r="L206" s="551" t="s">
        <v>100</v>
      </c>
      <c r="M206" s="551" t="s">
        <v>100</v>
      </c>
    </row>
    <row r="207" spans="1:13" ht="15">
      <c r="A207" s="551" t="s">
        <v>584</v>
      </c>
      <c r="B207" s="551" t="s">
        <v>585</v>
      </c>
      <c r="C207" s="552">
        <v>-11532</v>
      </c>
      <c r="D207" s="552">
        <v>-68941.27</v>
      </c>
      <c r="E207" s="551" t="s">
        <v>156</v>
      </c>
      <c r="F207" s="551" t="s">
        <v>100</v>
      </c>
      <c r="G207" s="551" t="s">
        <v>1549</v>
      </c>
      <c r="H207" s="551" t="s">
        <v>100</v>
      </c>
      <c r="I207" s="551" t="s">
        <v>2035</v>
      </c>
      <c r="J207" s="551" t="s">
        <v>100</v>
      </c>
      <c r="K207" s="551" t="s">
        <v>100</v>
      </c>
      <c r="L207" s="551" t="s">
        <v>100</v>
      </c>
      <c r="M207" s="551" t="s">
        <v>100</v>
      </c>
    </row>
    <row r="208" spans="1:13" ht="15">
      <c r="A208" s="551" t="s">
        <v>586</v>
      </c>
      <c r="B208" s="551" t="s">
        <v>587</v>
      </c>
      <c r="C208" s="552">
        <v>47672.5</v>
      </c>
      <c r="D208" s="552">
        <v>1167115.42</v>
      </c>
      <c r="E208" s="551" t="s">
        <v>156</v>
      </c>
      <c r="F208" s="551" t="s">
        <v>100</v>
      </c>
      <c r="G208" s="551" t="s">
        <v>1549</v>
      </c>
      <c r="H208" s="551" t="s">
        <v>100</v>
      </c>
      <c r="I208" s="551" t="s">
        <v>2038</v>
      </c>
      <c r="J208" s="551" t="s">
        <v>2037</v>
      </c>
      <c r="K208" s="551" t="s">
        <v>586</v>
      </c>
      <c r="L208" s="551" t="s">
        <v>100</v>
      </c>
      <c r="M208" s="551" t="s">
        <v>100</v>
      </c>
    </row>
    <row r="209" spans="1:13" ht="15">
      <c r="A209" s="551" t="s">
        <v>588</v>
      </c>
      <c r="B209" s="551" t="s">
        <v>1583</v>
      </c>
      <c r="C209" s="552">
        <v>0</v>
      </c>
      <c r="D209" s="552">
        <v>0</v>
      </c>
      <c r="E209" s="551" t="s">
        <v>156</v>
      </c>
      <c r="F209" s="551" t="s">
        <v>100</v>
      </c>
      <c r="G209" s="551" t="s">
        <v>1549</v>
      </c>
      <c r="H209" s="551" t="s">
        <v>100</v>
      </c>
      <c r="I209" s="551" t="s">
        <v>2035</v>
      </c>
      <c r="J209" s="551" t="s">
        <v>100</v>
      </c>
      <c r="K209" s="551" t="s">
        <v>100</v>
      </c>
      <c r="L209" s="551" t="s">
        <v>100</v>
      </c>
      <c r="M209" s="551" t="s">
        <v>100</v>
      </c>
    </row>
    <row r="210" spans="1:13" ht="15">
      <c r="A210" s="551" t="s">
        <v>590</v>
      </c>
      <c r="B210" s="551" t="s">
        <v>591</v>
      </c>
      <c r="C210" s="552">
        <v>4879.3999999999996</v>
      </c>
      <c r="D210" s="552">
        <v>26226.87</v>
      </c>
      <c r="E210" s="551" t="s">
        <v>156</v>
      </c>
      <c r="F210" s="551" t="s">
        <v>100</v>
      </c>
      <c r="G210" s="551" t="s">
        <v>1549</v>
      </c>
      <c r="H210" s="551" t="s">
        <v>100</v>
      </c>
      <c r="I210" s="551" t="s">
        <v>2038</v>
      </c>
      <c r="J210" s="551" t="s">
        <v>2037</v>
      </c>
      <c r="K210" s="551" t="s">
        <v>590</v>
      </c>
      <c r="L210" s="551" t="s">
        <v>100</v>
      </c>
      <c r="M210" s="551" t="s">
        <v>100</v>
      </c>
    </row>
    <row r="211" spans="1:13" ht="15">
      <c r="A211" s="551" t="s">
        <v>592</v>
      </c>
      <c r="B211" s="551" t="s">
        <v>593</v>
      </c>
      <c r="C211" s="552">
        <v>2238.4299999999998</v>
      </c>
      <c r="D211" s="552">
        <v>16544.04</v>
      </c>
      <c r="E211" s="551" t="s">
        <v>156</v>
      </c>
      <c r="F211" s="551" t="s">
        <v>100</v>
      </c>
      <c r="G211" s="551" t="s">
        <v>1549</v>
      </c>
      <c r="H211" s="551" t="s">
        <v>100</v>
      </c>
      <c r="I211" s="551" t="s">
        <v>2038</v>
      </c>
      <c r="J211" s="551" t="s">
        <v>2037</v>
      </c>
      <c r="K211" s="551" t="s">
        <v>592</v>
      </c>
      <c r="L211" s="551" t="s">
        <v>100</v>
      </c>
      <c r="M211" s="551" t="s">
        <v>100</v>
      </c>
    </row>
    <row r="212" spans="1:13" ht="15">
      <c r="A212" s="551" t="s">
        <v>594</v>
      </c>
      <c r="B212" s="551" t="s">
        <v>595</v>
      </c>
      <c r="C212" s="552">
        <v>107098.17</v>
      </c>
      <c r="D212" s="552">
        <v>1480048.2</v>
      </c>
      <c r="E212" s="551" t="s">
        <v>156</v>
      </c>
      <c r="F212" s="551" t="s">
        <v>100</v>
      </c>
      <c r="G212" s="551" t="s">
        <v>1550</v>
      </c>
      <c r="H212" s="551" t="s">
        <v>596</v>
      </c>
      <c r="I212" s="551" t="s">
        <v>2035</v>
      </c>
      <c r="J212" s="551" t="s">
        <v>100</v>
      </c>
      <c r="K212" s="551" t="s">
        <v>100</v>
      </c>
      <c r="L212" s="551" t="s">
        <v>100</v>
      </c>
      <c r="M212" s="551" t="s">
        <v>100</v>
      </c>
    </row>
    <row r="213" spans="1:13" ht="15">
      <c r="A213" s="551" t="s">
        <v>597</v>
      </c>
      <c r="B213" s="551" t="s">
        <v>595</v>
      </c>
      <c r="C213" s="552">
        <v>0</v>
      </c>
      <c r="D213" s="552">
        <v>0</v>
      </c>
      <c r="E213" s="551" t="s">
        <v>156</v>
      </c>
      <c r="F213" s="551" t="s">
        <v>100</v>
      </c>
      <c r="G213" s="551" t="s">
        <v>1584</v>
      </c>
      <c r="H213" s="551" t="s">
        <v>100</v>
      </c>
      <c r="I213" s="551" t="s">
        <v>2035</v>
      </c>
      <c r="J213" s="551" t="s">
        <v>100</v>
      </c>
      <c r="K213" s="551" t="s">
        <v>100</v>
      </c>
      <c r="L213" s="551" t="s">
        <v>100</v>
      </c>
      <c r="M213" s="551" t="s">
        <v>100</v>
      </c>
    </row>
    <row r="214" spans="1:13" ht="15">
      <c r="A214" s="551" t="s">
        <v>599</v>
      </c>
      <c r="B214" s="551" t="s">
        <v>600</v>
      </c>
      <c r="C214" s="552">
        <v>0</v>
      </c>
      <c r="D214" s="552">
        <v>0</v>
      </c>
      <c r="E214" s="551" t="s">
        <v>156</v>
      </c>
      <c r="F214" s="551" t="s">
        <v>100</v>
      </c>
      <c r="G214" s="551" t="s">
        <v>1548</v>
      </c>
      <c r="H214" s="551" t="s">
        <v>100</v>
      </c>
      <c r="I214" s="551" t="s">
        <v>2035</v>
      </c>
      <c r="J214" s="551" t="s">
        <v>100</v>
      </c>
      <c r="K214" s="551" t="s">
        <v>100</v>
      </c>
      <c r="L214" s="551" t="s">
        <v>100</v>
      </c>
      <c r="M214" s="551" t="s">
        <v>100</v>
      </c>
    </row>
    <row r="215" spans="1:13" ht="15">
      <c r="A215" s="551" t="s">
        <v>601</v>
      </c>
      <c r="B215" s="551" t="s">
        <v>602</v>
      </c>
      <c r="C215" s="552">
        <v>0</v>
      </c>
      <c r="D215" s="552">
        <v>0</v>
      </c>
      <c r="E215" s="551" t="s">
        <v>156</v>
      </c>
      <c r="F215" s="551" t="s">
        <v>100</v>
      </c>
      <c r="G215" s="551" t="s">
        <v>1549</v>
      </c>
      <c r="H215" s="551" t="s">
        <v>100</v>
      </c>
      <c r="I215" s="551" t="s">
        <v>2036</v>
      </c>
      <c r="J215" s="551" t="s">
        <v>2037</v>
      </c>
      <c r="K215" s="551" t="s">
        <v>100</v>
      </c>
      <c r="L215" s="551" t="s">
        <v>100</v>
      </c>
      <c r="M215" s="551" t="s">
        <v>100</v>
      </c>
    </row>
    <row r="216" spans="1:13" ht="15">
      <c r="A216" s="551" t="s">
        <v>603</v>
      </c>
      <c r="B216" s="551" t="s">
        <v>604</v>
      </c>
      <c r="C216" s="552">
        <v>-2113.73</v>
      </c>
      <c r="D216" s="552">
        <v>23903.87</v>
      </c>
      <c r="E216" s="551" t="s">
        <v>156</v>
      </c>
      <c r="F216" s="551" t="s">
        <v>100</v>
      </c>
      <c r="G216" s="551" t="s">
        <v>1549</v>
      </c>
      <c r="H216" s="551" t="s">
        <v>100</v>
      </c>
      <c r="I216" s="551" t="s">
        <v>2038</v>
      </c>
      <c r="J216" s="551" t="s">
        <v>2037</v>
      </c>
      <c r="K216" s="551" t="s">
        <v>498</v>
      </c>
      <c r="L216" s="551" t="s">
        <v>100</v>
      </c>
      <c r="M216" s="551" t="s">
        <v>100</v>
      </c>
    </row>
    <row r="217" spans="1:13" ht="15">
      <c r="A217" s="551" t="s">
        <v>605</v>
      </c>
      <c r="B217" s="551" t="s">
        <v>606</v>
      </c>
      <c r="C217" s="552">
        <v>0</v>
      </c>
      <c r="D217" s="552">
        <v>460</v>
      </c>
      <c r="E217" s="551" t="s">
        <v>156</v>
      </c>
      <c r="F217" s="551" t="s">
        <v>100</v>
      </c>
      <c r="G217" s="551" t="s">
        <v>1549</v>
      </c>
      <c r="H217" s="551" t="s">
        <v>100</v>
      </c>
      <c r="I217" s="551" t="s">
        <v>2035</v>
      </c>
      <c r="J217" s="551" t="s">
        <v>100</v>
      </c>
      <c r="K217" s="551" t="s">
        <v>100</v>
      </c>
      <c r="L217" s="551" t="s">
        <v>100</v>
      </c>
      <c r="M217" s="551" t="s">
        <v>100</v>
      </c>
    </row>
    <row r="218" spans="1:13" ht="15">
      <c r="A218" s="551" t="s">
        <v>607</v>
      </c>
      <c r="B218" s="551" t="s">
        <v>608</v>
      </c>
      <c r="C218" s="552">
        <v>19295.689999999999</v>
      </c>
      <c r="D218" s="552">
        <v>21874.69</v>
      </c>
      <c r="E218" s="551" t="s">
        <v>156</v>
      </c>
      <c r="F218" s="551" t="s">
        <v>100</v>
      </c>
      <c r="G218" s="551" t="s">
        <v>1549</v>
      </c>
      <c r="H218" s="551" t="s">
        <v>100</v>
      </c>
      <c r="I218" s="551" t="s">
        <v>2038</v>
      </c>
      <c r="J218" s="551" t="s">
        <v>2037</v>
      </c>
      <c r="K218" s="551" t="s">
        <v>498</v>
      </c>
      <c r="L218" s="551" t="s">
        <v>100</v>
      </c>
      <c r="M218" s="551" t="s">
        <v>100</v>
      </c>
    </row>
    <row r="219" spans="1:13" ht="15">
      <c r="A219" s="551" t="s">
        <v>609</v>
      </c>
      <c r="B219" s="551" t="s">
        <v>610</v>
      </c>
      <c r="C219" s="552">
        <v>0</v>
      </c>
      <c r="D219" s="552">
        <v>0</v>
      </c>
      <c r="E219" s="551" t="s">
        <v>156</v>
      </c>
      <c r="F219" s="551" t="s">
        <v>100</v>
      </c>
      <c r="G219" s="551" t="s">
        <v>1549</v>
      </c>
      <c r="H219" s="551" t="s">
        <v>100</v>
      </c>
      <c r="I219" s="551" t="s">
        <v>2035</v>
      </c>
      <c r="J219" s="551" t="s">
        <v>100</v>
      </c>
      <c r="K219" s="551" t="s">
        <v>100</v>
      </c>
      <c r="L219" s="551" t="s">
        <v>100</v>
      </c>
      <c r="M219" s="551" t="s">
        <v>100</v>
      </c>
    </row>
    <row r="220" spans="1:13" ht="15">
      <c r="A220" s="551" t="s">
        <v>611</v>
      </c>
      <c r="B220" s="551" t="s">
        <v>612</v>
      </c>
      <c r="C220" s="552">
        <v>707.26</v>
      </c>
      <c r="D220" s="552">
        <v>2131.41</v>
      </c>
      <c r="E220" s="551" t="s">
        <v>156</v>
      </c>
      <c r="F220" s="551" t="s">
        <v>100</v>
      </c>
      <c r="G220" s="551" t="s">
        <v>1549</v>
      </c>
      <c r="H220" s="551" t="s">
        <v>100</v>
      </c>
      <c r="I220" s="551" t="s">
        <v>2038</v>
      </c>
      <c r="J220" s="551" t="s">
        <v>2037</v>
      </c>
      <c r="K220" s="551" t="s">
        <v>611</v>
      </c>
      <c r="L220" s="551" t="s">
        <v>100</v>
      </c>
      <c r="M220" s="551" t="s">
        <v>100</v>
      </c>
    </row>
    <row r="221" spans="1:13" ht="15">
      <c r="A221" s="551" t="s">
        <v>613</v>
      </c>
      <c r="B221" s="551" t="s">
        <v>614</v>
      </c>
      <c r="C221" s="552">
        <v>0</v>
      </c>
      <c r="D221" s="552">
        <v>0</v>
      </c>
      <c r="E221" s="551" t="s">
        <v>156</v>
      </c>
      <c r="F221" s="551" t="s">
        <v>100</v>
      </c>
      <c r="G221" s="551" t="s">
        <v>1549</v>
      </c>
      <c r="H221" s="551" t="s">
        <v>100</v>
      </c>
      <c r="I221" s="551" t="s">
        <v>2035</v>
      </c>
      <c r="J221" s="551" t="s">
        <v>100</v>
      </c>
      <c r="K221" s="551" t="s">
        <v>100</v>
      </c>
      <c r="L221" s="551" t="s">
        <v>100</v>
      </c>
      <c r="M221" s="551" t="s">
        <v>100</v>
      </c>
    </row>
    <row r="222" spans="1:13" ht="15">
      <c r="A222" s="551" t="s">
        <v>615</v>
      </c>
      <c r="B222" s="551" t="s">
        <v>616</v>
      </c>
      <c r="C222" s="552">
        <v>0</v>
      </c>
      <c r="D222" s="552">
        <v>0</v>
      </c>
      <c r="E222" s="551" t="s">
        <v>156</v>
      </c>
      <c r="F222" s="551" t="s">
        <v>100</v>
      </c>
      <c r="G222" s="551" t="s">
        <v>1549</v>
      </c>
      <c r="H222" s="551" t="s">
        <v>100</v>
      </c>
      <c r="I222" s="551" t="s">
        <v>2035</v>
      </c>
      <c r="J222" s="551" t="s">
        <v>100</v>
      </c>
      <c r="K222" s="551" t="s">
        <v>100</v>
      </c>
      <c r="L222" s="551" t="s">
        <v>100</v>
      </c>
      <c r="M222" s="551" t="s">
        <v>100</v>
      </c>
    </row>
    <row r="223" spans="1:13" ht="15">
      <c r="A223" s="551" t="s">
        <v>617</v>
      </c>
      <c r="B223" s="551" t="s">
        <v>618</v>
      </c>
      <c r="C223" s="552">
        <v>17889.22</v>
      </c>
      <c r="D223" s="552">
        <v>48369.97</v>
      </c>
      <c r="E223" s="551" t="s">
        <v>156</v>
      </c>
      <c r="F223" s="551" t="s">
        <v>100</v>
      </c>
      <c r="G223" s="551" t="s">
        <v>1550</v>
      </c>
      <c r="H223" s="551" t="s">
        <v>619</v>
      </c>
      <c r="I223" s="551" t="s">
        <v>2035</v>
      </c>
      <c r="J223" s="551" t="s">
        <v>100</v>
      </c>
      <c r="K223" s="551" t="s">
        <v>100</v>
      </c>
      <c r="L223" s="551" t="s">
        <v>100</v>
      </c>
      <c r="M223" s="551" t="s">
        <v>100</v>
      </c>
    </row>
    <row r="224" spans="1:13" ht="15">
      <c r="A224" s="551" t="s">
        <v>620</v>
      </c>
      <c r="B224" s="551" t="s">
        <v>621</v>
      </c>
      <c r="C224" s="552">
        <v>1286072.47</v>
      </c>
      <c r="D224" s="552">
        <v>3019859.84</v>
      </c>
      <c r="E224" s="551" t="s">
        <v>156</v>
      </c>
      <c r="F224" s="551" t="s">
        <v>100</v>
      </c>
      <c r="G224" s="551" t="s">
        <v>1550</v>
      </c>
      <c r="H224" s="551" t="s">
        <v>622</v>
      </c>
      <c r="I224" s="551" t="s">
        <v>2035</v>
      </c>
      <c r="J224" s="551" t="s">
        <v>100</v>
      </c>
      <c r="K224" s="551" t="s">
        <v>100</v>
      </c>
      <c r="L224" s="551" t="s">
        <v>100</v>
      </c>
      <c r="M224" s="551" t="s">
        <v>100</v>
      </c>
    </row>
    <row r="225" spans="1:13" ht="15">
      <c r="A225" s="551" t="s">
        <v>623</v>
      </c>
      <c r="B225" s="551" t="s">
        <v>624</v>
      </c>
      <c r="C225" s="552">
        <v>1286072.47</v>
      </c>
      <c r="D225" s="552">
        <v>3019859.84</v>
      </c>
      <c r="E225" s="551" t="s">
        <v>156</v>
      </c>
      <c r="F225" s="551" t="s">
        <v>100</v>
      </c>
      <c r="G225" s="551" t="s">
        <v>1550</v>
      </c>
      <c r="H225" s="551" t="s">
        <v>625</v>
      </c>
      <c r="I225" s="551" t="s">
        <v>2035</v>
      </c>
      <c r="J225" s="551" t="s">
        <v>100</v>
      </c>
      <c r="K225" s="551" t="s">
        <v>100</v>
      </c>
      <c r="L225" s="551" t="s">
        <v>100</v>
      </c>
      <c r="M225" s="551" t="s">
        <v>100</v>
      </c>
    </row>
    <row r="226" spans="1:13" ht="15">
      <c r="A226" s="551" t="s">
        <v>626</v>
      </c>
      <c r="B226" s="551" t="s">
        <v>627</v>
      </c>
      <c r="C226" s="552">
        <v>0</v>
      </c>
      <c r="D226" s="552">
        <v>0</v>
      </c>
      <c r="E226" s="551" t="s">
        <v>156</v>
      </c>
      <c r="F226" s="551" t="s">
        <v>100</v>
      </c>
      <c r="G226" s="551" t="s">
        <v>1548</v>
      </c>
      <c r="H226" s="551" t="s">
        <v>100</v>
      </c>
      <c r="I226" s="551" t="s">
        <v>2035</v>
      </c>
      <c r="J226" s="551" t="s">
        <v>100</v>
      </c>
      <c r="K226" s="551" t="s">
        <v>100</v>
      </c>
      <c r="L226" s="551" t="s">
        <v>100</v>
      </c>
      <c r="M226" s="551" t="s">
        <v>100</v>
      </c>
    </row>
    <row r="227" spans="1:13" ht="15">
      <c r="A227" s="551" t="s">
        <v>628</v>
      </c>
      <c r="B227" s="551" t="s">
        <v>629</v>
      </c>
      <c r="C227" s="552">
        <v>3519.11</v>
      </c>
      <c r="D227" s="552">
        <v>13609.81</v>
      </c>
      <c r="E227" s="551" t="s">
        <v>156</v>
      </c>
      <c r="F227" s="551" t="s">
        <v>100</v>
      </c>
      <c r="G227" s="551" t="s">
        <v>1549</v>
      </c>
      <c r="H227" s="551" t="s">
        <v>100</v>
      </c>
      <c r="I227" s="551" t="s">
        <v>2038</v>
      </c>
      <c r="J227" s="551" t="s">
        <v>2037</v>
      </c>
      <c r="K227" s="551" t="s">
        <v>628</v>
      </c>
      <c r="L227" s="551" t="s">
        <v>100</v>
      </c>
      <c r="M227" s="551" t="s">
        <v>100</v>
      </c>
    </row>
    <row r="228" spans="1:13" ht="15">
      <c r="A228" s="551" t="s">
        <v>630</v>
      </c>
      <c r="B228" s="551" t="s">
        <v>631</v>
      </c>
      <c r="C228" s="552">
        <v>3519.11</v>
      </c>
      <c r="D228" s="552">
        <v>13609.81</v>
      </c>
      <c r="E228" s="551" t="s">
        <v>156</v>
      </c>
      <c r="F228" s="551" t="s">
        <v>100</v>
      </c>
      <c r="G228" s="551" t="s">
        <v>1550</v>
      </c>
      <c r="H228" s="551" t="s">
        <v>632</v>
      </c>
      <c r="I228" s="551" t="s">
        <v>2035</v>
      </c>
      <c r="J228" s="551" t="s">
        <v>100</v>
      </c>
      <c r="K228" s="551" t="s">
        <v>100</v>
      </c>
      <c r="L228" s="551" t="s">
        <v>100</v>
      </c>
      <c r="M228" s="551" t="s">
        <v>100</v>
      </c>
    </row>
    <row r="229" spans="1:13" ht="15">
      <c r="A229" s="551" t="s">
        <v>633</v>
      </c>
      <c r="B229" s="551" t="s">
        <v>634</v>
      </c>
      <c r="C229" s="552">
        <v>1289591.58</v>
      </c>
      <c r="D229" s="552">
        <v>3033469.65</v>
      </c>
      <c r="E229" s="551" t="s">
        <v>156</v>
      </c>
      <c r="F229" s="551" t="s">
        <v>100</v>
      </c>
      <c r="G229" s="551" t="s">
        <v>1550</v>
      </c>
      <c r="H229" s="551" t="s">
        <v>635</v>
      </c>
      <c r="I229" s="551" t="s">
        <v>2035</v>
      </c>
      <c r="J229" s="551" t="s">
        <v>100</v>
      </c>
      <c r="K229" s="551" t="s">
        <v>100</v>
      </c>
      <c r="L229" s="551" t="s">
        <v>100</v>
      </c>
      <c r="M229" s="551" t="s">
        <v>100</v>
      </c>
    </row>
    <row r="230" spans="1:13" ht="15">
      <c r="A230" s="551" t="s">
        <v>636</v>
      </c>
      <c r="B230" s="551" t="s">
        <v>637</v>
      </c>
      <c r="C230" s="552">
        <v>0</v>
      </c>
      <c r="D230" s="552">
        <v>0</v>
      </c>
      <c r="E230" s="551" t="s">
        <v>156</v>
      </c>
      <c r="F230" s="551" t="s">
        <v>100</v>
      </c>
      <c r="G230" s="551" t="s">
        <v>1548</v>
      </c>
      <c r="H230" s="551" t="s">
        <v>100</v>
      </c>
      <c r="I230" s="551" t="s">
        <v>2035</v>
      </c>
      <c r="J230" s="551" t="s">
        <v>100</v>
      </c>
      <c r="K230" s="551" t="s">
        <v>100</v>
      </c>
      <c r="L230" s="551" t="s">
        <v>100</v>
      </c>
      <c r="M230" s="551" t="s">
        <v>100</v>
      </c>
    </row>
    <row r="231" spans="1:13" ht="15">
      <c r="A231" s="551" t="s">
        <v>638</v>
      </c>
      <c r="B231" s="551" t="s">
        <v>639</v>
      </c>
      <c r="C231" s="552">
        <v>0</v>
      </c>
      <c r="D231" s="552">
        <v>0</v>
      </c>
      <c r="E231" s="551" t="s">
        <v>156</v>
      </c>
      <c r="F231" s="551" t="s">
        <v>100</v>
      </c>
      <c r="G231" s="551" t="s">
        <v>1548</v>
      </c>
      <c r="H231" s="551" t="s">
        <v>100</v>
      </c>
      <c r="I231" s="551" t="s">
        <v>2035</v>
      </c>
      <c r="J231" s="551" t="s">
        <v>100</v>
      </c>
      <c r="K231" s="551" t="s">
        <v>100</v>
      </c>
      <c r="L231" s="551" t="s">
        <v>100</v>
      </c>
      <c r="M231" s="551" t="s">
        <v>100</v>
      </c>
    </row>
    <row r="232" spans="1:13" ht="15">
      <c r="A232" s="551" t="s">
        <v>640</v>
      </c>
      <c r="B232" s="551" t="s">
        <v>641</v>
      </c>
      <c r="C232" s="552">
        <v>0</v>
      </c>
      <c r="D232" s="552">
        <v>-2097280.84</v>
      </c>
      <c r="E232" s="551" t="s">
        <v>156</v>
      </c>
      <c r="F232" s="551" t="s">
        <v>100</v>
      </c>
      <c r="G232" s="551" t="s">
        <v>1549</v>
      </c>
      <c r="H232" s="551" t="s">
        <v>100</v>
      </c>
      <c r="I232" s="551" t="s">
        <v>2036</v>
      </c>
      <c r="J232" s="551" t="s">
        <v>2037</v>
      </c>
      <c r="K232" s="551" t="s">
        <v>640</v>
      </c>
      <c r="L232" s="551" t="s">
        <v>100</v>
      </c>
      <c r="M232" s="551" t="s">
        <v>100</v>
      </c>
    </row>
    <row r="233" spans="1:13" ht="15">
      <c r="A233" s="551" t="s">
        <v>642</v>
      </c>
      <c r="B233" s="551" t="s">
        <v>643</v>
      </c>
      <c r="C233" s="552">
        <v>-39.4</v>
      </c>
      <c r="D233" s="552">
        <v>-84583.79</v>
      </c>
      <c r="E233" s="551" t="s">
        <v>156</v>
      </c>
      <c r="F233" s="551" t="s">
        <v>100</v>
      </c>
      <c r="G233" s="551" t="s">
        <v>1549</v>
      </c>
      <c r="H233" s="551" t="s">
        <v>100</v>
      </c>
      <c r="I233" s="551" t="s">
        <v>2035</v>
      </c>
      <c r="J233" s="551" t="s">
        <v>100</v>
      </c>
      <c r="K233" s="551" t="s">
        <v>100</v>
      </c>
      <c r="L233" s="551" t="s">
        <v>100</v>
      </c>
      <c r="M233" s="551" t="s">
        <v>100</v>
      </c>
    </row>
    <row r="234" spans="1:13" ht="15">
      <c r="A234" s="551" t="s">
        <v>644</v>
      </c>
      <c r="B234" s="551" t="s">
        <v>645</v>
      </c>
      <c r="C234" s="552">
        <v>0</v>
      </c>
      <c r="D234" s="552">
        <v>0</v>
      </c>
      <c r="E234" s="551" t="s">
        <v>156</v>
      </c>
      <c r="F234" s="551" t="s">
        <v>100</v>
      </c>
      <c r="G234" s="551" t="s">
        <v>1549</v>
      </c>
      <c r="H234" s="551" t="s">
        <v>100</v>
      </c>
      <c r="I234" s="551" t="s">
        <v>2035</v>
      </c>
      <c r="J234" s="551" t="s">
        <v>100</v>
      </c>
      <c r="K234" s="551" t="s">
        <v>100</v>
      </c>
      <c r="L234" s="551" t="s">
        <v>100</v>
      </c>
      <c r="M234" s="551" t="s">
        <v>100</v>
      </c>
    </row>
    <row r="235" spans="1:13" ht="15">
      <c r="A235" s="551" t="s">
        <v>646</v>
      </c>
      <c r="B235" s="551" t="s">
        <v>202</v>
      </c>
      <c r="C235" s="552">
        <v>0</v>
      </c>
      <c r="D235" s="552">
        <v>-25000</v>
      </c>
      <c r="E235" s="551" t="s">
        <v>156</v>
      </c>
      <c r="F235" s="551" t="s">
        <v>100</v>
      </c>
      <c r="G235" s="551" t="s">
        <v>1549</v>
      </c>
      <c r="H235" s="551" t="s">
        <v>100</v>
      </c>
      <c r="I235" s="551" t="s">
        <v>2035</v>
      </c>
      <c r="J235" s="551" t="s">
        <v>100</v>
      </c>
      <c r="K235" s="551" t="s">
        <v>100</v>
      </c>
      <c r="L235" s="551" t="s">
        <v>100</v>
      </c>
      <c r="M235" s="551" t="s">
        <v>100</v>
      </c>
    </row>
    <row r="236" spans="1:13" ht="15">
      <c r="A236" s="551" t="s">
        <v>647</v>
      </c>
      <c r="B236" s="551" t="s">
        <v>648</v>
      </c>
      <c r="C236" s="552">
        <v>0</v>
      </c>
      <c r="D236" s="552">
        <v>98526.06</v>
      </c>
      <c r="E236" s="551" t="s">
        <v>156</v>
      </c>
      <c r="F236" s="551" t="s">
        <v>100</v>
      </c>
      <c r="G236" s="551" t="s">
        <v>1549</v>
      </c>
      <c r="H236" s="551" t="s">
        <v>100</v>
      </c>
      <c r="I236" s="551" t="s">
        <v>2038</v>
      </c>
      <c r="J236" s="551" t="s">
        <v>2037</v>
      </c>
      <c r="K236" s="551" t="s">
        <v>647</v>
      </c>
      <c r="L236" s="551" t="s">
        <v>100</v>
      </c>
      <c r="M236" s="551" t="s">
        <v>100</v>
      </c>
    </row>
    <row r="237" spans="1:13" ht="15">
      <c r="A237" s="551" t="s">
        <v>649</v>
      </c>
      <c r="B237" s="551" t="s">
        <v>650</v>
      </c>
      <c r="C237" s="552">
        <v>4998.7700000000004</v>
      </c>
      <c r="D237" s="552">
        <v>131378.91</v>
      </c>
      <c r="E237" s="551" t="s">
        <v>156</v>
      </c>
      <c r="F237" s="551" t="s">
        <v>100</v>
      </c>
      <c r="G237" s="551" t="s">
        <v>1549</v>
      </c>
      <c r="H237" s="551" t="s">
        <v>100</v>
      </c>
      <c r="I237" s="551" t="s">
        <v>2038</v>
      </c>
      <c r="J237" s="551" t="s">
        <v>2037</v>
      </c>
      <c r="K237" s="551" t="s">
        <v>649</v>
      </c>
      <c r="L237" s="551" t="s">
        <v>100</v>
      </c>
      <c r="M237" s="551" t="s">
        <v>100</v>
      </c>
    </row>
    <row r="238" spans="1:13" ht="15">
      <c r="A238" s="551" t="s">
        <v>651</v>
      </c>
      <c r="B238" s="551" t="s">
        <v>652</v>
      </c>
      <c r="C238" s="552">
        <v>4229.2</v>
      </c>
      <c r="D238" s="552">
        <v>424170.32</v>
      </c>
      <c r="E238" s="551" t="s">
        <v>156</v>
      </c>
      <c r="F238" s="551" t="s">
        <v>100</v>
      </c>
      <c r="G238" s="551" t="s">
        <v>1549</v>
      </c>
      <c r="H238" s="551" t="s">
        <v>100</v>
      </c>
      <c r="I238" s="551" t="s">
        <v>2038</v>
      </c>
      <c r="J238" s="551" t="s">
        <v>2037</v>
      </c>
      <c r="K238" s="551" t="s">
        <v>651</v>
      </c>
      <c r="L238" s="551" t="s">
        <v>100</v>
      </c>
      <c r="M238" s="551" t="s">
        <v>100</v>
      </c>
    </row>
    <row r="239" spans="1:13" ht="15">
      <c r="A239" s="551" t="s">
        <v>653</v>
      </c>
      <c r="B239" s="551" t="s">
        <v>654</v>
      </c>
      <c r="C239" s="552">
        <v>5140</v>
      </c>
      <c r="D239" s="552">
        <v>5670</v>
      </c>
      <c r="E239" s="551" t="s">
        <v>156</v>
      </c>
      <c r="F239" s="551" t="s">
        <v>100</v>
      </c>
      <c r="G239" s="551" t="s">
        <v>1549</v>
      </c>
      <c r="H239" s="551" t="s">
        <v>100</v>
      </c>
      <c r="I239" s="551" t="s">
        <v>2038</v>
      </c>
      <c r="J239" s="551" t="s">
        <v>2037</v>
      </c>
      <c r="K239" s="551" t="s">
        <v>653</v>
      </c>
      <c r="L239" s="551" t="s">
        <v>100</v>
      </c>
      <c r="M239" s="551" t="s">
        <v>100</v>
      </c>
    </row>
    <row r="240" spans="1:13" ht="15">
      <c r="A240" s="551" t="s">
        <v>655</v>
      </c>
      <c r="B240" s="551" t="s">
        <v>656</v>
      </c>
      <c r="C240" s="552">
        <v>2525.75</v>
      </c>
      <c r="D240" s="552">
        <v>6817.96</v>
      </c>
      <c r="E240" s="551" t="s">
        <v>156</v>
      </c>
      <c r="F240" s="551" t="s">
        <v>100</v>
      </c>
      <c r="G240" s="551" t="s">
        <v>1549</v>
      </c>
      <c r="H240" s="551" t="s">
        <v>100</v>
      </c>
      <c r="I240" s="551" t="s">
        <v>2038</v>
      </c>
      <c r="J240" s="551" t="s">
        <v>2037</v>
      </c>
      <c r="K240" s="551" t="s">
        <v>655</v>
      </c>
      <c r="L240" s="551" t="s">
        <v>100</v>
      </c>
      <c r="M240" s="551" t="s">
        <v>100</v>
      </c>
    </row>
    <row r="241" spans="1:13" ht="15">
      <c r="A241" s="551" t="s">
        <v>657</v>
      </c>
      <c r="B241" s="551" t="s">
        <v>658</v>
      </c>
      <c r="C241" s="552">
        <v>0</v>
      </c>
      <c r="D241" s="552">
        <v>2594.92</v>
      </c>
      <c r="E241" s="551" t="s">
        <v>156</v>
      </c>
      <c r="F241" s="551" t="s">
        <v>100</v>
      </c>
      <c r="G241" s="551" t="s">
        <v>1549</v>
      </c>
      <c r="H241" s="551" t="s">
        <v>100</v>
      </c>
      <c r="I241" s="551" t="s">
        <v>2038</v>
      </c>
      <c r="J241" s="551" t="s">
        <v>2037</v>
      </c>
      <c r="K241" s="551" t="s">
        <v>657</v>
      </c>
      <c r="L241" s="551" t="s">
        <v>100</v>
      </c>
      <c r="M241" s="551" t="s">
        <v>100</v>
      </c>
    </row>
    <row r="242" spans="1:13" ht="15">
      <c r="A242" s="551" t="s">
        <v>659</v>
      </c>
      <c r="B242" s="551" t="s">
        <v>660</v>
      </c>
      <c r="C242" s="552">
        <v>77665</v>
      </c>
      <c r="D242" s="552">
        <v>1112151.3</v>
      </c>
      <c r="E242" s="551" t="s">
        <v>156</v>
      </c>
      <c r="F242" s="551" t="s">
        <v>100</v>
      </c>
      <c r="G242" s="551" t="s">
        <v>1549</v>
      </c>
      <c r="H242" s="551" t="s">
        <v>100</v>
      </c>
      <c r="I242" s="551" t="s">
        <v>2038</v>
      </c>
      <c r="J242" s="551" t="s">
        <v>2037</v>
      </c>
      <c r="K242" s="551" t="s">
        <v>659</v>
      </c>
      <c r="L242" s="551" t="s">
        <v>100</v>
      </c>
      <c r="M242" s="551" t="s">
        <v>100</v>
      </c>
    </row>
    <row r="243" spans="1:13" ht="15">
      <c r="A243" s="551" t="s">
        <v>661</v>
      </c>
      <c r="B243" s="551" t="s">
        <v>662</v>
      </c>
      <c r="C243" s="552">
        <v>0</v>
      </c>
      <c r="D243" s="552">
        <v>250</v>
      </c>
      <c r="E243" s="551" t="s">
        <v>156</v>
      </c>
      <c r="F243" s="551" t="s">
        <v>100</v>
      </c>
      <c r="G243" s="551" t="s">
        <v>1549</v>
      </c>
      <c r="H243" s="551" t="s">
        <v>100</v>
      </c>
      <c r="I243" s="551" t="s">
        <v>2038</v>
      </c>
      <c r="J243" s="551" t="s">
        <v>2037</v>
      </c>
      <c r="K243" s="551" t="s">
        <v>661</v>
      </c>
      <c r="L243" s="551" t="s">
        <v>100</v>
      </c>
      <c r="M243" s="551" t="s">
        <v>100</v>
      </c>
    </row>
    <row r="244" spans="1:13" ht="15">
      <c r="A244" s="551" t="s">
        <v>663</v>
      </c>
      <c r="B244" s="551" t="s">
        <v>664</v>
      </c>
      <c r="C244" s="552">
        <v>49856.08</v>
      </c>
      <c r="D244" s="552">
        <v>676612.05</v>
      </c>
      <c r="E244" s="551" t="s">
        <v>156</v>
      </c>
      <c r="F244" s="551" t="s">
        <v>100</v>
      </c>
      <c r="G244" s="551" t="s">
        <v>1549</v>
      </c>
      <c r="H244" s="551" t="s">
        <v>100</v>
      </c>
      <c r="I244" s="551" t="s">
        <v>2038</v>
      </c>
      <c r="J244" s="551" t="s">
        <v>2037</v>
      </c>
      <c r="K244" s="551" t="s">
        <v>663</v>
      </c>
      <c r="L244" s="551" t="s">
        <v>100</v>
      </c>
      <c r="M244" s="551" t="s">
        <v>100</v>
      </c>
    </row>
    <row r="245" spans="1:13" ht="15">
      <c r="A245" s="551" t="s">
        <v>665</v>
      </c>
      <c r="B245" s="551" t="s">
        <v>666</v>
      </c>
      <c r="C245" s="552">
        <v>46587.77</v>
      </c>
      <c r="D245" s="552">
        <v>47019.88</v>
      </c>
      <c r="E245" s="551" t="s">
        <v>156</v>
      </c>
      <c r="F245" s="551" t="s">
        <v>100</v>
      </c>
      <c r="G245" s="551" t="s">
        <v>1549</v>
      </c>
      <c r="H245" s="551" t="s">
        <v>100</v>
      </c>
      <c r="I245" s="551" t="s">
        <v>2038</v>
      </c>
      <c r="J245" s="551" t="s">
        <v>2037</v>
      </c>
      <c r="K245" s="551" t="s">
        <v>665</v>
      </c>
      <c r="L245" s="551" t="s">
        <v>100</v>
      </c>
      <c r="M245" s="551" t="s">
        <v>100</v>
      </c>
    </row>
    <row r="246" spans="1:13" ht="15">
      <c r="A246" s="551" t="s">
        <v>667</v>
      </c>
      <c r="B246" s="551" t="s">
        <v>220</v>
      </c>
      <c r="C246" s="552">
        <v>52.1</v>
      </c>
      <c r="D246" s="552">
        <v>62700.9</v>
      </c>
      <c r="E246" s="551" t="s">
        <v>156</v>
      </c>
      <c r="F246" s="551" t="s">
        <v>100</v>
      </c>
      <c r="G246" s="551" t="s">
        <v>1549</v>
      </c>
      <c r="H246" s="551" t="s">
        <v>100</v>
      </c>
      <c r="I246" s="551" t="s">
        <v>2038</v>
      </c>
      <c r="J246" s="551" t="s">
        <v>2037</v>
      </c>
      <c r="K246" s="551" t="s">
        <v>667</v>
      </c>
      <c r="L246" s="551" t="s">
        <v>100</v>
      </c>
      <c r="M246" s="551" t="s">
        <v>100</v>
      </c>
    </row>
    <row r="247" spans="1:13" ht="15">
      <c r="A247" s="551" t="s">
        <v>668</v>
      </c>
      <c r="B247" s="551" t="s">
        <v>669</v>
      </c>
      <c r="C247" s="552">
        <v>8750</v>
      </c>
      <c r="D247" s="552">
        <v>61900</v>
      </c>
      <c r="E247" s="551" t="s">
        <v>156</v>
      </c>
      <c r="F247" s="551" t="s">
        <v>100</v>
      </c>
      <c r="G247" s="551" t="s">
        <v>1549</v>
      </c>
      <c r="H247" s="551" t="s">
        <v>100</v>
      </c>
      <c r="I247" s="551" t="s">
        <v>2038</v>
      </c>
      <c r="J247" s="551" t="s">
        <v>2037</v>
      </c>
      <c r="K247" s="551" t="s">
        <v>668</v>
      </c>
      <c r="L247" s="551" t="s">
        <v>100</v>
      </c>
      <c r="M247" s="551" t="s">
        <v>100</v>
      </c>
    </row>
    <row r="248" spans="1:13" ht="15">
      <c r="A248" s="551" t="s">
        <v>670</v>
      </c>
      <c r="B248" s="551" t="s">
        <v>671</v>
      </c>
      <c r="C248" s="552">
        <v>0</v>
      </c>
      <c r="D248" s="552">
        <v>0</v>
      </c>
      <c r="E248" s="551" t="s">
        <v>156</v>
      </c>
      <c r="F248" s="551" t="s">
        <v>100</v>
      </c>
      <c r="G248" s="551" t="s">
        <v>1549</v>
      </c>
      <c r="H248" s="551" t="s">
        <v>100</v>
      </c>
      <c r="I248" s="551" t="s">
        <v>2035</v>
      </c>
      <c r="J248" s="551" t="s">
        <v>100</v>
      </c>
      <c r="K248" s="551" t="s">
        <v>100</v>
      </c>
      <c r="L248" s="551" t="s">
        <v>100</v>
      </c>
      <c r="M248" s="551" t="s">
        <v>100</v>
      </c>
    </row>
    <row r="249" spans="1:13" ht="15">
      <c r="A249" s="551" t="s">
        <v>672</v>
      </c>
      <c r="B249" s="551" t="s">
        <v>1586</v>
      </c>
      <c r="C249" s="552">
        <v>199765.27</v>
      </c>
      <c r="D249" s="552">
        <v>422927.67</v>
      </c>
      <c r="E249" s="551" t="s">
        <v>156</v>
      </c>
      <c r="F249" s="551" t="s">
        <v>100</v>
      </c>
      <c r="G249" s="551" t="s">
        <v>1550</v>
      </c>
      <c r="H249" s="551" t="s">
        <v>674</v>
      </c>
      <c r="I249" s="551" t="s">
        <v>2035</v>
      </c>
      <c r="J249" s="551" t="s">
        <v>100</v>
      </c>
      <c r="K249" s="551" t="s">
        <v>100</v>
      </c>
      <c r="L249" s="551" t="s">
        <v>100</v>
      </c>
      <c r="M249" s="551" t="s">
        <v>100</v>
      </c>
    </row>
    <row r="250" spans="1:13" ht="15">
      <c r="A250" s="551" t="s">
        <v>675</v>
      </c>
      <c r="B250" s="551" t="s">
        <v>676</v>
      </c>
      <c r="C250" s="552">
        <v>0</v>
      </c>
      <c r="D250" s="552">
        <v>0</v>
      </c>
      <c r="E250" s="551" t="s">
        <v>156</v>
      </c>
      <c r="F250" s="551" t="s">
        <v>100</v>
      </c>
      <c r="G250" s="551" t="s">
        <v>1548</v>
      </c>
      <c r="H250" s="551" t="s">
        <v>100</v>
      </c>
      <c r="I250" s="551" t="s">
        <v>2035</v>
      </c>
      <c r="J250" s="551" t="s">
        <v>100</v>
      </c>
      <c r="K250" s="551" t="s">
        <v>100</v>
      </c>
      <c r="L250" s="551" t="s">
        <v>100</v>
      </c>
      <c r="M250" s="551" t="s">
        <v>100</v>
      </c>
    </row>
    <row r="251" spans="1:13" ht="15">
      <c r="A251" s="551" t="s">
        <v>677</v>
      </c>
      <c r="B251" s="551" t="s">
        <v>678</v>
      </c>
      <c r="C251" s="552">
        <v>0</v>
      </c>
      <c r="D251" s="552">
        <v>0</v>
      </c>
      <c r="E251" s="551" t="s">
        <v>156</v>
      </c>
      <c r="F251" s="551" t="s">
        <v>100</v>
      </c>
      <c r="G251" s="551" t="s">
        <v>1549</v>
      </c>
      <c r="H251" s="551" t="s">
        <v>100</v>
      </c>
      <c r="I251" s="551" t="s">
        <v>2035</v>
      </c>
      <c r="J251" s="551" t="s">
        <v>100</v>
      </c>
      <c r="K251" s="551" t="s">
        <v>100</v>
      </c>
      <c r="L251" s="551" t="s">
        <v>100</v>
      </c>
      <c r="M251" s="551" t="s">
        <v>100</v>
      </c>
    </row>
    <row r="252" spans="1:13" ht="15">
      <c r="A252" s="551" t="s">
        <v>679</v>
      </c>
      <c r="B252" s="551" t="s">
        <v>680</v>
      </c>
      <c r="C252" s="552">
        <v>0</v>
      </c>
      <c r="D252" s="552">
        <v>0</v>
      </c>
      <c r="E252" s="551" t="s">
        <v>156</v>
      </c>
      <c r="F252" s="551" t="s">
        <v>100</v>
      </c>
      <c r="G252" s="551" t="s">
        <v>1549</v>
      </c>
      <c r="H252" s="551" t="s">
        <v>100</v>
      </c>
      <c r="I252" s="551" t="s">
        <v>2035</v>
      </c>
      <c r="J252" s="551" t="s">
        <v>100</v>
      </c>
      <c r="K252" s="551" t="s">
        <v>100</v>
      </c>
      <c r="L252" s="551" t="s">
        <v>100</v>
      </c>
      <c r="M252" s="551" t="s">
        <v>100</v>
      </c>
    </row>
    <row r="253" spans="1:13" ht="15">
      <c r="A253" s="551" t="s">
        <v>681</v>
      </c>
      <c r="B253" s="551" t="s">
        <v>682</v>
      </c>
      <c r="C253" s="552">
        <v>0</v>
      </c>
      <c r="D253" s="552">
        <v>0</v>
      </c>
      <c r="E253" s="551" t="s">
        <v>156</v>
      </c>
      <c r="F253" s="551" t="s">
        <v>100</v>
      </c>
      <c r="G253" s="551" t="s">
        <v>1550</v>
      </c>
      <c r="H253" s="551" t="s">
        <v>683</v>
      </c>
      <c r="I253" s="551" t="s">
        <v>2035</v>
      </c>
      <c r="J253" s="551" t="s">
        <v>100</v>
      </c>
      <c r="K253" s="551" t="s">
        <v>100</v>
      </c>
      <c r="L253" s="551" t="s">
        <v>100</v>
      </c>
      <c r="M253" s="551" t="s">
        <v>100</v>
      </c>
    </row>
    <row r="254" spans="1:13" ht="15">
      <c r="A254" s="551" t="s">
        <v>684</v>
      </c>
      <c r="B254" s="551" t="s">
        <v>685</v>
      </c>
      <c r="C254" s="552">
        <v>0</v>
      </c>
      <c r="D254" s="552">
        <v>0</v>
      </c>
      <c r="E254" s="551" t="s">
        <v>156</v>
      </c>
      <c r="F254" s="551" t="s">
        <v>100</v>
      </c>
      <c r="G254" s="551" t="s">
        <v>1548</v>
      </c>
      <c r="H254" s="551" t="s">
        <v>100</v>
      </c>
      <c r="I254" s="551" t="s">
        <v>2035</v>
      </c>
      <c r="J254" s="551" t="s">
        <v>100</v>
      </c>
      <c r="K254" s="551" t="s">
        <v>100</v>
      </c>
      <c r="L254" s="551" t="s">
        <v>100</v>
      </c>
      <c r="M254" s="551" t="s">
        <v>100</v>
      </c>
    </row>
    <row r="255" spans="1:13" ht="15">
      <c r="A255" s="551" t="s">
        <v>686</v>
      </c>
      <c r="B255" s="551" t="s">
        <v>687</v>
      </c>
      <c r="C255" s="552">
        <v>69291.83</v>
      </c>
      <c r="D255" s="552">
        <v>284660.03000000003</v>
      </c>
      <c r="E255" s="551" t="s">
        <v>156</v>
      </c>
      <c r="F255" s="551" t="s">
        <v>100</v>
      </c>
      <c r="G255" s="551" t="s">
        <v>1549</v>
      </c>
      <c r="H255" s="551" t="s">
        <v>100</v>
      </c>
      <c r="I255" s="551" t="s">
        <v>2038</v>
      </c>
      <c r="J255" s="551" t="s">
        <v>2037</v>
      </c>
      <c r="K255" s="551" t="s">
        <v>686</v>
      </c>
      <c r="L255" s="551" t="s">
        <v>100</v>
      </c>
      <c r="M255" s="551" t="s">
        <v>100</v>
      </c>
    </row>
    <row r="256" spans="1:13" ht="15">
      <c r="A256" s="551" t="s">
        <v>688</v>
      </c>
      <c r="B256" s="551" t="s">
        <v>689</v>
      </c>
      <c r="C256" s="552">
        <v>1470</v>
      </c>
      <c r="D256" s="552">
        <v>1470</v>
      </c>
      <c r="E256" s="551" t="s">
        <v>156</v>
      </c>
      <c r="F256" s="551" t="s">
        <v>100</v>
      </c>
      <c r="G256" s="551" t="s">
        <v>1549</v>
      </c>
      <c r="H256" s="551" t="s">
        <v>100</v>
      </c>
      <c r="I256" s="551" t="s">
        <v>2035</v>
      </c>
      <c r="J256" s="551" t="s">
        <v>2037</v>
      </c>
      <c r="K256" s="551" t="s">
        <v>688</v>
      </c>
      <c r="L256" s="551" t="s">
        <v>100</v>
      </c>
      <c r="M256" s="551" t="s">
        <v>100</v>
      </c>
    </row>
    <row r="257" spans="1:13" ht="15">
      <c r="A257" s="551" t="s">
        <v>690</v>
      </c>
      <c r="B257" s="551" t="s">
        <v>691</v>
      </c>
      <c r="C257" s="552">
        <v>31298.32</v>
      </c>
      <c r="D257" s="552">
        <v>81142.09</v>
      </c>
      <c r="E257" s="551" t="s">
        <v>156</v>
      </c>
      <c r="F257" s="551" t="s">
        <v>100</v>
      </c>
      <c r="G257" s="551" t="s">
        <v>1549</v>
      </c>
      <c r="H257" s="551" t="s">
        <v>100</v>
      </c>
      <c r="I257" s="551" t="s">
        <v>2038</v>
      </c>
      <c r="J257" s="551" t="s">
        <v>2037</v>
      </c>
      <c r="K257" s="551" t="s">
        <v>690</v>
      </c>
      <c r="L257" s="551" t="s">
        <v>100</v>
      </c>
      <c r="M257" s="551" t="s">
        <v>100</v>
      </c>
    </row>
    <row r="258" spans="1:13" ht="15">
      <c r="A258" s="551" t="s">
        <v>692</v>
      </c>
      <c r="B258" s="551" t="s">
        <v>693</v>
      </c>
      <c r="C258" s="552">
        <v>14510.96</v>
      </c>
      <c r="D258" s="552">
        <v>19671.41</v>
      </c>
      <c r="E258" s="551" t="s">
        <v>156</v>
      </c>
      <c r="F258" s="551" t="s">
        <v>100</v>
      </c>
      <c r="G258" s="551" t="s">
        <v>1549</v>
      </c>
      <c r="H258" s="551" t="s">
        <v>100</v>
      </c>
      <c r="I258" s="551" t="s">
        <v>2038</v>
      </c>
      <c r="J258" s="551" t="s">
        <v>2037</v>
      </c>
      <c r="K258" s="551" t="s">
        <v>692</v>
      </c>
      <c r="L258" s="551" t="s">
        <v>100</v>
      </c>
      <c r="M258" s="551" t="s">
        <v>100</v>
      </c>
    </row>
    <row r="259" spans="1:13" ht="15">
      <c r="A259" s="551" t="s">
        <v>694</v>
      </c>
      <c r="B259" s="551" t="s">
        <v>695</v>
      </c>
      <c r="C259" s="552">
        <v>0</v>
      </c>
      <c r="D259" s="552">
        <v>0</v>
      </c>
      <c r="E259" s="551" t="s">
        <v>156</v>
      </c>
      <c r="F259" s="551" t="s">
        <v>100</v>
      </c>
      <c r="G259" s="551" t="s">
        <v>1549</v>
      </c>
      <c r="H259" s="551" t="s">
        <v>100</v>
      </c>
      <c r="I259" s="551" t="s">
        <v>2038</v>
      </c>
      <c r="J259" s="551" t="s">
        <v>2037</v>
      </c>
      <c r="K259" s="551" t="s">
        <v>694</v>
      </c>
      <c r="L259" s="551" t="s">
        <v>100</v>
      </c>
      <c r="M259" s="551" t="s">
        <v>100</v>
      </c>
    </row>
    <row r="260" spans="1:13" ht="15">
      <c r="A260" s="551" t="s">
        <v>696</v>
      </c>
      <c r="B260" s="551" t="s">
        <v>697</v>
      </c>
      <c r="C260" s="552">
        <v>116571.11</v>
      </c>
      <c r="D260" s="552">
        <v>386943.53</v>
      </c>
      <c r="E260" s="551" t="s">
        <v>156</v>
      </c>
      <c r="F260" s="551" t="s">
        <v>100</v>
      </c>
      <c r="G260" s="551" t="s">
        <v>1550</v>
      </c>
      <c r="H260" s="551" t="s">
        <v>698</v>
      </c>
      <c r="I260" s="551" t="s">
        <v>2035</v>
      </c>
      <c r="J260" s="551" t="s">
        <v>100</v>
      </c>
      <c r="K260" s="551" t="s">
        <v>100</v>
      </c>
      <c r="L260" s="551" t="s">
        <v>100</v>
      </c>
      <c r="M260" s="551" t="s">
        <v>100</v>
      </c>
    </row>
    <row r="261" spans="1:13" ht="15">
      <c r="A261" s="551" t="s">
        <v>699</v>
      </c>
      <c r="B261" s="551" t="s">
        <v>700</v>
      </c>
      <c r="C261" s="552">
        <v>0</v>
      </c>
      <c r="D261" s="552">
        <v>0</v>
      </c>
      <c r="E261" s="551" t="s">
        <v>156</v>
      </c>
      <c r="F261" s="551" t="s">
        <v>100</v>
      </c>
      <c r="G261" s="551" t="s">
        <v>1548</v>
      </c>
      <c r="H261" s="551" t="s">
        <v>100</v>
      </c>
      <c r="I261" s="551" t="s">
        <v>2035</v>
      </c>
      <c r="J261" s="551" t="s">
        <v>100</v>
      </c>
      <c r="K261" s="551" t="s">
        <v>100</v>
      </c>
      <c r="L261" s="551" t="s">
        <v>100</v>
      </c>
      <c r="M261" s="551" t="s">
        <v>100</v>
      </c>
    </row>
    <row r="262" spans="1:13" ht="15">
      <c r="A262" s="551" t="s">
        <v>701</v>
      </c>
      <c r="B262" s="551" t="s">
        <v>702</v>
      </c>
      <c r="C262" s="552">
        <v>0</v>
      </c>
      <c r="D262" s="552">
        <v>-135.29</v>
      </c>
      <c r="E262" s="551" t="s">
        <v>156</v>
      </c>
      <c r="F262" s="551" t="s">
        <v>100</v>
      </c>
      <c r="G262" s="551" t="s">
        <v>1549</v>
      </c>
      <c r="H262" s="551" t="s">
        <v>100</v>
      </c>
      <c r="I262" s="551" t="s">
        <v>2036</v>
      </c>
      <c r="J262" s="551" t="s">
        <v>2037</v>
      </c>
      <c r="K262" s="551" t="s">
        <v>701</v>
      </c>
      <c r="L262" s="551" t="s">
        <v>100</v>
      </c>
      <c r="M262" s="551" t="s">
        <v>100</v>
      </c>
    </row>
    <row r="263" spans="1:13" ht="15">
      <c r="A263" s="551" t="s">
        <v>703</v>
      </c>
      <c r="B263" s="551" t="s">
        <v>704</v>
      </c>
      <c r="C263" s="552">
        <v>0</v>
      </c>
      <c r="D263" s="552">
        <v>0</v>
      </c>
      <c r="E263" s="551" t="s">
        <v>156</v>
      </c>
      <c r="F263" s="551" t="s">
        <v>100</v>
      </c>
      <c r="G263" s="551" t="s">
        <v>1549</v>
      </c>
      <c r="H263" s="551" t="s">
        <v>100</v>
      </c>
      <c r="I263" s="551" t="s">
        <v>2038</v>
      </c>
      <c r="J263" s="551" t="s">
        <v>2037</v>
      </c>
      <c r="K263" s="551" t="s">
        <v>703</v>
      </c>
      <c r="L263" s="551" t="s">
        <v>100</v>
      </c>
      <c r="M263" s="551" t="s">
        <v>100</v>
      </c>
    </row>
    <row r="264" spans="1:13" ht="15">
      <c r="A264" s="551" t="s">
        <v>705</v>
      </c>
      <c r="B264" s="551" t="s">
        <v>664</v>
      </c>
      <c r="C264" s="552">
        <v>0</v>
      </c>
      <c r="D264" s="552">
        <v>663.65</v>
      </c>
      <c r="E264" s="551" t="s">
        <v>156</v>
      </c>
      <c r="F264" s="551" t="s">
        <v>100</v>
      </c>
      <c r="G264" s="551" t="s">
        <v>1549</v>
      </c>
      <c r="H264" s="551" t="s">
        <v>100</v>
      </c>
      <c r="I264" s="551" t="s">
        <v>2038</v>
      </c>
      <c r="J264" s="551" t="s">
        <v>2037</v>
      </c>
      <c r="K264" s="551" t="s">
        <v>705</v>
      </c>
      <c r="L264" s="551" t="s">
        <v>100</v>
      </c>
      <c r="M264" s="551" t="s">
        <v>100</v>
      </c>
    </row>
    <row r="265" spans="1:13" ht="15">
      <c r="A265" s="551" t="s">
        <v>706</v>
      </c>
      <c r="B265" s="551" t="s">
        <v>707</v>
      </c>
      <c r="C265" s="552">
        <v>0</v>
      </c>
      <c r="D265" s="552">
        <v>0</v>
      </c>
      <c r="E265" s="551" t="s">
        <v>156</v>
      </c>
      <c r="F265" s="551" t="s">
        <v>100</v>
      </c>
      <c r="G265" s="551" t="s">
        <v>1549</v>
      </c>
      <c r="H265" s="551" t="s">
        <v>100</v>
      </c>
      <c r="I265" s="551" t="s">
        <v>2036</v>
      </c>
      <c r="J265" s="551" t="s">
        <v>2037</v>
      </c>
      <c r="K265" s="551" t="s">
        <v>706</v>
      </c>
      <c r="L265" s="551" t="s">
        <v>100</v>
      </c>
      <c r="M265" s="551" t="s">
        <v>100</v>
      </c>
    </row>
    <row r="266" spans="1:13" ht="15">
      <c r="A266" s="551" t="s">
        <v>708</v>
      </c>
      <c r="B266" s="551" t="s">
        <v>709</v>
      </c>
      <c r="C266" s="552">
        <v>0</v>
      </c>
      <c r="D266" s="552">
        <v>317.92</v>
      </c>
      <c r="E266" s="551" t="s">
        <v>156</v>
      </c>
      <c r="F266" s="551" t="s">
        <v>100</v>
      </c>
      <c r="G266" s="551" t="s">
        <v>1549</v>
      </c>
      <c r="H266" s="551" t="s">
        <v>100</v>
      </c>
      <c r="I266" s="551" t="s">
        <v>2038</v>
      </c>
      <c r="J266" s="551" t="s">
        <v>2037</v>
      </c>
      <c r="K266" s="551" t="s">
        <v>708</v>
      </c>
      <c r="L266" s="551" t="s">
        <v>100</v>
      </c>
      <c r="M266" s="551" t="s">
        <v>100</v>
      </c>
    </row>
    <row r="267" spans="1:13" ht="15">
      <c r="A267" s="551" t="s">
        <v>710</v>
      </c>
      <c r="B267" s="551" t="s">
        <v>711</v>
      </c>
      <c r="C267" s="552">
        <v>0</v>
      </c>
      <c r="D267" s="552">
        <v>1566.2</v>
      </c>
      <c r="E267" s="551" t="s">
        <v>156</v>
      </c>
      <c r="F267" s="551" t="s">
        <v>100</v>
      </c>
      <c r="G267" s="551" t="s">
        <v>1549</v>
      </c>
      <c r="H267" s="551" t="s">
        <v>100</v>
      </c>
      <c r="I267" s="551" t="s">
        <v>2038</v>
      </c>
      <c r="J267" s="551" t="s">
        <v>2037</v>
      </c>
      <c r="K267" s="551" t="s">
        <v>710</v>
      </c>
      <c r="L267" s="551" t="s">
        <v>100</v>
      </c>
      <c r="M267" s="551" t="s">
        <v>100</v>
      </c>
    </row>
    <row r="268" spans="1:13" ht="15">
      <c r="A268" s="551" t="s">
        <v>712</v>
      </c>
      <c r="B268" s="551" t="s">
        <v>713</v>
      </c>
      <c r="C268" s="552">
        <v>0</v>
      </c>
      <c r="D268" s="552">
        <v>2412.48</v>
      </c>
      <c r="E268" s="551" t="s">
        <v>156</v>
      </c>
      <c r="F268" s="551" t="s">
        <v>100</v>
      </c>
      <c r="G268" s="551" t="s">
        <v>1550</v>
      </c>
      <c r="H268" s="551" t="s">
        <v>714</v>
      </c>
      <c r="I268" s="551" t="s">
        <v>2035</v>
      </c>
      <c r="J268" s="551" t="s">
        <v>100</v>
      </c>
      <c r="K268" s="551" t="s">
        <v>100</v>
      </c>
      <c r="L268" s="551" t="s">
        <v>100</v>
      </c>
      <c r="M268" s="551" t="s">
        <v>100</v>
      </c>
    </row>
    <row r="269" spans="1:13" ht="15">
      <c r="A269" s="551" t="s">
        <v>715</v>
      </c>
      <c r="B269" s="551" t="s">
        <v>716</v>
      </c>
      <c r="C269" s="552">
        <v>316336.38</v>
      </c>
      <c r="D269" s="552">
        <v>812283.68</v>
      </c>
      <c r="E269" s="551" t="s">
        <v>156</v>
      </c>
      <c r="F269" s="551" t="s">
        <v>100</v>
      </c>
      <c r="G269" s="551" t="s">
        <v>1550</v>
      </c>
      <c r="H269" s="551" t="s">
        <v>717</v>
      </c>
      <c r="I269" s="551" t="s">
        <v>2035</v>
      </c>
      <c r="J269" s="551" t="s">
        <v>100</v>
      </c>
      <c r="K269" s="551" t="s">
        <v>100</v>
      </c>
      <c r="L269" s="551" t="s">
        <v>100</v>
      </c>
      <c r="M269" s="551" t="s">
        <v>100</v>
      </c>
    </row>
    <row r="270" spans="1:13" ht="15">
      <c r="A270" s="551" t="s">
        <v>718</v>
      </c>
      <c r="B270" s="551" t="s">
        <v>719</v>
      </c>
      <c r="C270" s="552">
        <v>0</v>
      </c>
      <c r="D270" s="552">
        <v>0</v>
      </c>
      <c r="E270" s="551" t="s">
        <v>156</v>
      </c>
      <c r="F270" s="551" t="s">
        <v>100</v>
      </c>
      <c r="G270" s="551" t="s">
        <v>1548</v>
      </c>
      <c r="H270" s="551" t="s">
        <v>100</v>
      </c>
      <c r="I270" s="551" t="s">
        <v>2035</v>
      </c>
      <c r="J270" s="551" t="s">
        <v>100</v>
      </c>
      <c r="K270" s="551" t="s">
        <v>100</v>
      </c>
      <c r="L270" s="551" t="s">
        <v>100</v>
      </c>
      <c r="M270" s="551" t="s">
        <v>100</v>
      </c>
    </row>
    <row r="271" spans="1:13" ht="15">
      <c r="A271" s="551" t="s">
        <v>720</v>
      </c>
      <c r="B271" s="551" t="s">
        <v>721</v>
      </c>
      <c r="C271" s="552">
        <v>0</v>
      </c>
      <c r="D271" s="552">
        <v>0</v>
      </c>
      <c r="E271" s="551" t="s">
        <v>156</v>
      </c>
      <c r="F271" s="551" t="s">
        <v>100</v>
      </c>
      <c r="G271" s="551" t="s">
        <v>1548</v>
      </c>
      <c r="H271" s="551" t="s">
        <v>100</v>
      </c>
      <c r="I271" s="551" t="s">
        <v>2035</v>
      </c>
      <c r="J271" s="551" t="s">
        <v>100</v>
      </c>
      <c r="K271" s="551" t="s">
        <v>100</v>
      </c>
      <c r="L271" s="551" t="s">
        <v>100</v>
      </c>
      <c r="M271" s="551" t="s">
        <v>100</v>
      </c>
    </row>
    <row r="272" spans="1:13" ht="15">
      <c r="A272" s="551" t="s">
        <v>722</v>
      </c>
      <c r="B272" s="551" t="s">
        <v>723</v>
      </c>
      <c r="C272" s="552">
        <v>-44263.16</v>
      </c>
      <c r="D272" s="552">
        <v>-120857.47</v>
      </c>
      <c r="E272" s="551" t="s">
        <v>156</v>
      </c>
      <c r="F272" s="551" t="s">
        <v>100</v>
      </c>
      <c r="G272" s="551" t="s">
        <v>1549</v>
      </c>
      <c r="H272" s="551" t="s">
        <v>100</v>
      </c>
      <c r="I272" s="551" t="s">
        <v>2036</v>
      </c>
      <c r="J272" s="551" t="s">
        <v>2037</v>
      </c>
      <c r="K272" s="551" t="s">
        <v>722</v>
      </c>
      <c r="L272" s="551" t="s">
        <v>100</v>
      </c>
      <c r="M272" s="551" t="s">
        <v>100</v>
      </c>
    </row>
    <row r="273" spans="1:13" ht="15">
      <c r="A273" s="551" t="s">
        <v>724</v>
      </c>
      <c r="B273" s="551" t="s">
        <v>725</v>
      </c>
      <c r="C273" s="552">
        <v>0</v>
      </c>
      <c r="D273" s="552">
        <v>-0.6</v>
      </c>
      <c r="E273" s="551" t="s">
        <v>156</v>
      </c>
      <c r="F273" s="551" t="s">
        <v>100</v>
      </c>
      <c r="G273" s="551" t="s">
        <v>1549</v>
      </c>
      <c r="H273" s="551" t="s">
        <v>100</v>
      </c>
      <c r="I273" s="551" t="s">
        <v>2035</v>
      </c>
      <c r="J273" s="551" t="s">
        <v>100</v>
      </c>
      <c r="K273" s="551" t="s">
        <v>100</v>
      </c>
      <c r="L273" s="551" t="s">
        <v>100</v>
      </c>
      <c r="M273" s="551" t="s">
        <v>100</v>
      </c>
    </row>
    <row r="274" spans="1:13" ht="15">
      <c r="A274" s="551" t="s">
        <v>726</v>
      </c>
      <c r="B274" s="551" t="s">
        <v>727</v>
      </c>
      <c r="C274" s="552">
        <v>-38160</v>
      </c>
      <c r="D274" s="552">
        <v>-130400</v>
      </c>
      <c r="E274" s="551" t="s">
        <v>156</v>
      </c>
      <c r="F274" s="551" t="s">
        <v>100</v>
      </c>
      <c r="G274" s="551" t="s">
        <v>1549</v>
      </c>
      <c r="H274" s="551" t="s">
        <v>100</v>
      </c>
      <c r="I274" s="551" t="s">
        <v>2036</v>
      </c>
      <c r="J274" s="551" t="s">
        <v>2037</v>
      </c>
      <c r="K274" s="551" t="s">
        <v>726</v>
      </c>
      <c r="L274" s="551" t="s">
        <v>100</v>
      </c>
      <c r="M274" s="551" t="s">
        <v>100</v>
      </c>
    </row>
    <row r="275" spans="1:13" ht="15">
      <c r="A275" s="551" t="s">
        <v>728</v>
      </c>
      <c r="B275" s="551" t="s">
        <v>729</v>
      </c>
      <c r="C275" s="552">
        <v>114850.53</v>
      </c>
      <c r="D275" s="552">
        <v>320826.40000000002</v>
      </c>
      <c r="E275" s="551" t="s">
        <v>156</v>
      </c>
      <c r="F275" s="551" t="s">
        <v>100</v>
      </c>
      <c r="G275" s="551" t="s">
        <v>1549</v>
      </c>
      <c r="H275" s="551" t="s">
        <v>100</v>
      </c>
      <c r="I275" s="551" t="s">
        <v>2038</v>
      </c>
      <c r="J275" s="551" t="s">
        <v>2037</v>
      </c>
      <c r="K275" s="551" t="s">
        <v>728</v>
      </c>
      <c r="L275" s="551" t="s">
        <v>100</v>
      </c>
      <c r="M275" s="551" t="s">
        <v>100</v>
      </c>
    </row>
    <row r="276" spans="1:13" ht="15">
      <c r="A276" s="551" t="s">
        <v>730</v>
      </c>
      <c r="B276" s="551" t="s">
        <v>731</v>
      </c>
      <c r="C276" s="552">
        <v>0</v>
      </c>
      <c r="D276" s="552">
        <v>0</v>
      </c>
      <c r="E276" s="551" t="s">
        <v>156</v>
      </c>
      <c r="F276" s="551" t="s">
        <v>100</v>
      </c>
      <c r="G276" s="551" t="s">
        <v>1549</v>
      </c>
      <c r="H276" s="551" t="s">
        <v>100</v>
      </c>
      <c r="I276" s="551" t="s">
        <v>2038</v>
      </c>
      <c r="J276" s="551" t="s">
        <v>2037</v>
      </c>
      <c r="K276" s="551" t="s">
        <v>730</v>
      </c>
      <c r="L276" s="551" t="s">
        <v>100</v>
      </c>
      <c r="M276" s="551" t="s">
        <v>100</v>
      </c>
    </row>
    <row r="277" spans="1:13" ht="15">
      <c r="A277" s="551" t="s">
        <v>732</v>
      </c>
      <c r="B277" s="551" t="s">
        <v>733</v>
      </c>
      <c r="C277" s="552">
        <v>0</v>
      </c>
      <c r="D277" s="552">
        <v>0</v>
      </c>
      <c r="E277" s="551" t="s">
        <v>156</v>
      </c>
      <c r="F277" s="551" t="s">
        <v>100</v>
      </c>
      <c r="G277" s="551" t="s">
        <v>1549</v>
      </c>
      <c r="H277" s="551" t="s">
        <v>100</v>
      </c>
      <c r="I277" s="551" t="s">
        <v>2038</v>
      </c>
      <c r="J277" s="551" t="s">
        <v>2037</v>
      </c>
      <c r="K277" s="551" t="s">
        <v>732</v>
      </c>
      <c r="L277" s="551" t="s">
        <v>100</v>
      </c>
      <c r="M277" s="551" t="s">
        <v>100</v>
      </c>
    </row>
    <row r="278" spans="1:13" ht="15">
      <c r="A278" s="551" t="s">
        <v>734</v>
      </c>
      <c r="B278" s="551" t="s">
        <v>735</v>
      </c>
      <c r="C278" s="552">
        <v>0</v>
      </c>
      <c r="D278" s="552">
        <v>0</v>
      </c>
      <c r="E278" s="551" t="s">
        <v>156</v>
      </c>
      <c r="F278" s="551" t="s">
        <v>100</v>
      </c>
      <c r="G278" s="551" t="s">
        <v>1549</v>
      </c>
      <c r="H278" s="551" t="s">
        <v>100</v>
      </c>
      <c r="I278" s="551" t="s">
        <v>2035</v>
      </c>
      <c r="J278" s="551" t="s">
        <v>100</v>
      </c>
      <c r="K278" s="551" t="s">
        <v>100</v>
      </c>
      <c r="L278" s="551" t="s">
        <v>100</v>
      </c>
      <c r="M278" s="551" t="s">
        <v>100</v>
      </c>
    </row>
    <row r="279" spans="1:13" ht="15">
      <c r="A279" s="551" t="s">
        <v>736</v>
      </c>
      <c r="B279" s="551" t="s">
        <v>737</v>
      </c>
      <c r="C279" s="552">
        <v>4203.25</v>
      </c>
      <c r="D279" s="552">
        <v>33761.33</v>
      </c>
      <c r="E279" s="551" t="s">
        <v>156</v>
      </c>
      <c r="F279" s="551" t="s">
        <v>100</v>
      </c>
      <c r="G279" s="551" t="s">
        <v>1549</v>
      </c>
      <c r="H279" s="551" t="s">
        <v>100</v>
      </c>
      <c r="I279" s="551" t="s">
        <v>2036</v>
      </c>
      <c r="J279" s="551" t="s">
        <v>2037</v>
      </c>
      <c r="K279" s="551" t="s">
        <v>736</v>
      </c>
      <c r="L279" s="551" t="s">
        <v>100</v>
      </c>
      <c r="M279" s="551" t="s">
        <v>100</v>
      </c>
    </row>
    <row r="280" spans="1:13" ht="15">
      <c r="A280" s="551" t="s">
        <v>738</v>
      </c>
      <c r="B280" s="551" t="s">
        <v>739</v>
      </c>
      <c r="C280" s="552">
        <v>0</v>
      </c>
      <c r="D280" s="552">
        <v>0</v>
      </c>
      <c r="E280" s="551" t="s">
        <v>156</v>
      </c>
      <c r="F280" s="551" t="s">
        <v>100</v>
      </c>
      <c r="G280" s="551" t="s">
        <v>1549</v>
      </c>
      <c r="H280" s="551" t="s">
        <v>100</v>
      </c>
      <c r="I280" s="551" t="s">
        <v>2038</v>
      </c>
      <c r="J280" s="551" t="s">
        <v>2037</v>
      </c>
      <c r="K280" s="551" t="s">
        <v>738</v>
      </c>
      <c r="L280" s="551" t="s">
        <v>100</v>
      </c>
      <c r="M280" s="551" t="s">
        <v>100</v>
      </c>
    </row>
    <row r="281" spans="1:13" ht="15">
      <c r="A281" s="551" t="s">
        <v>740</v>
      </c>
      <c r="B281" s="551" t="s">
        <v>741</v>
      </c>
      <c r="C281" s="552">
        <v>1516.84</v>
      </c>
      <c r="D281" s="552">
        <v>43351.44</v>
      </c>
      <c r="E281" s="551" t="s">
        <v>156</v>
      </c>
      <c r="F281" s="551" t="s">
        <v>100</v>
      </c>
      <c r="G281" s="551" t="s">
        <v>1549</v>
      </c>
      <c r="H281" s="551" t="s">
        <v>100</v>
      </c>
      <c r="I281" s="551" t="s">
        <v>2038</v>
      </c>
      <c r="J281" s="551" t="s">
        <v>2037</v>
      </c>
      <c r="K281" s="551" t="s">
        <v>740</v>
      </c>
      <c r="L281" s="551" t="s">
        <v>100</v>
      </c>
      <c r="M281" s="551" t="s">
        <v>100</v>
      </c>
    </row>
    <row r="282" spans="1:13" ht="15">
      <c r="A282" s="551" t="s">
        <v>742</v>
      </c>
      <c r="B282" s="551" t="s">
        <v>743</v>
      </c>
      <c r="C282" s="552">
        <v>4793.25</v>
      </c>
      <c r="D282" s="552">
        <v>6359.8</v>
      </c>
      <c r="E282" s="551" t="s">
        <v>156</v>
      </c>
      <c r="F282" s="551" t="s">
        <v>100</v>
      </c>
      <c r="G282" s="551" t="s">
        <v>1549</v>
      </c>
      <c r="H282" s="551" t="s">
        <v>100</v>
      </c>
      <c r="I282" s="551" t="s">
        <v>2038</v>
      </c>
      <c r="J282" s="551" t="s">
        <v>2037</v>
      </c>
      <c r="K282" s="551" t="s">
        <v>742</v>
      </c>
      <c r="L282" s="551" t="s">
        <v>100</v>
      </c>
      <c r="M282" s="551" t="s">
        <v>100</v>
      </c>
    </row>
    <row r="283" spans="1:13" ht="15">
      <c r="A283" s="551" t="s">
        <v>744</v>
      </c>
      <c r="B283" s="551" t="s">
        <v>536</v>
      </c>
      <c r="C283" s="552">
        <v>3486.76</v>
      </c>
      <c r="D283" s="552">
        <v>14781.09</v>
      </c>
      <c r="E283" s="551" t="s">
        <v>156</v>
      </c>
      <c r="F283" s="551" t="s">
        <v>100</v>
      </c>
      <c r="G283" s="551" t="s">
        <v>1549</v>
      </c>
      <c r="H283" s="551" t="s">
        <v>100</v>
      </c>
      <c r="I283" s="551" t="s">
        <v>2038</v>
      </c>
      <c r="J283" s="551" t="s">
        <v>2037</v>
      </c>
      <c r="K283" s="551" t="s">
        <v>744</v>
      </c>
      <c r="L283" s="551" t="s">
        <v>100</v>
      </c>
      <c r="M283" s="551" t="s">
        <v>100</v>
      </c>
    </row>
    <row r="284" spans="1:13" ht="15">
      <c r="A284" s="551" t="s">
        <v>745</v>
      </c>
      <c r="B284" s="551" t="s">
        <v>746</v>
      </c>
      <c r="C284" s="552">
        <v>10220.82</v>
      </c>
      <c r="D284" s="552">
        <v>33832.480000000003</v>
      </c>
      <c r="E284" s="551" t="s">
        <v>156</v>
      </c>
      <c r="F284" s="551" t="s">
        <v>100</v>
      </c>
      <c r="G284" s="551" t="s">
        <v>1549</v>
      </c>
      <c r="H284" s="551" t="s">
        <v>100</v>
      </c>
      <c r="I284" s="551" t="s">
        <v>2038</v>
      </c>
      <c r="J284" s="551" t="s">
        <v>2037</v>
      </c>
      <c r="K284" s="551" t="s">
        <v>745</v>
      </c>
      <c r="L284" s="551" t="s">
        <v>100</v>
      </c>
      <c r="M284" s="551" t="s">
        <v>100</v>
      </c>
    </row>
    <row r="285" spans="1:13" ht="15">
      <c r="A285" s="551" t="s">
        <v>747</v>
      </c>
      <c r="B285" s="551" t="s">
        <v>748</v>
      </c>
      <c r="C285" s="552">
        <v>0</v>
      </c>
      <c r="D285" s="552">
        <v>132750</v>
      </c>
      <c r="E285" s="551" t="s">
        <v>156</v>
      </c>
      <c r="F285" s="551" t="s">
        <v>100</v>
      </c>
      <c r="G285" s="551" t="s">
        <v>1549</v>
      </c>
      <c r="H285" s="551" t="s">
        <v>100</v>
      </c>
      <c r="I285" s="551" t="s">
        <v>2038</v>
      </c>
      <c r="J285" s="551" t="s">
        <v>2037</v>
      </c>
      <c r="K285" s="551" t="s">
        <v>747</v>
      </c>
      <c r="L285" s="551" t="s">
        <v>100</v>
      </c>
      <c r="M285" s="551" t="s">
        <v>100</v>
      </c>
    </row>
    <row r="286" spans="1:13" ht="15">
      <c r="A286" s="551" t="s">
        <v>749</v>
      </c>
      <c r="B286" s="551" t="s">
        <v>750</v>
      </c>
      <c r="C286" s="552">
        <v>29062.5</v>
      </c>
      <c r="D286" s="552">
        <v>62125</v>
      </c>
      <c r="E286" s="551" t="s">
        <v>156</v>
      </c>
      <c r="F286" s="551" t="s">
        <v>100</v>
      </c>
      <c r="G286" s="551" t="s">
        <v>1549</v>
      </c>
      <c r="H286" s="551" t="s">
        <v>100</v>
      </c>
      <c r="I286" s="551" t="s">
        <v>2038</v>
      </c>
      <c r="J286" s="551" t="s">
        <v>2037</v>
      </c>
      <c r="K286" s="551" t="s">
        <v>749</v>
      </c>
      <c r="L286" s="551" t="s">
        <v>100</v>
      </c>
      <c r="M286" s="551" t="s">
        <v>100</v>
      </c>
    </row>
    <row r="287" spans="1:13" ht="15">
      <c r="A287" s="551" t="s">
        <v>751</v>
      </c>
      <c r="B287" s="551" t="s">
        <v>752</v>
      </c>
      <c r="C287" s="552">
        <v>58390.15</v>
      </c>
      <c r="D287" s="552">
        <v>112752.71</v>
      </c>
      <c r="E287" s="551" t="s">
        <v>156</v>
      </c>
      <c r="F287" s="551" t="s">
        <v>100</v>
      </c>
      <c r="G287" s="551" t="s">
        <v>1549</v>
      </c>
      <c r="H287" s="551" t="s">
        <v>100</v>
      </c>
      <c r="I287" s="551" t="s">
        <v>2038</v>
      </c>
      <c r="J287" s="551" t="s">
        <v>2037</v>
      </c>
      <c r="K287" s="551" t="s">
        <v>751</v>
      </c>
      <c r="L287" s="551" t="s">
        <v>100</v>
      </c>
      <c r="M287" s="551" t="s">
        <v>100</v>
      </c>
    </row>
    <row r="288" spans="1:13" ht="15">
      <c r="A288" s="551" t="s">
        <v>753</v>
      </c>
      <c r="B288" s="551" t="s">
        <v>220</v>
      </c>
      <c r="C288" s="552">
        <v>8270.58</v>
      </c>
      <c r="D288" s="552">
        <v>38701.33</v>
      </c>
      <c r="E288" s="551" t="s">
        <v>156</v>
      </c>
      <c r="F288" s="551" t="s">
        <v>100</v>
      </c>
      <c r="G288" s="551" t="s">
        <v>1549</v>
      </c>
      <c r="H288" s="551" t="s">
        <v>100</v>
      </c>
      <c r="I288" s="551" t="s">
        <v>2038</v>
      </c>
      <c r="J288" s="551" t="s">
        <v>2037</v>
      </c>
      <c r="K288" s="551" t="s">
        <v>753</v>
      </c>
      <c r="L288" s="551" t="s">
        <v>100</v>
      </c>
      <c r="M288" s="551" t="s">
        <v>100</v>
      </c>
    </row>
    <row r="289" spans="1:13" ht="15">
      <c r="A289" s="551" t="s">
        <v>754</v>
      </c>
      <c r="B289" s="551" t="s">
        <v>755</v>
      </c>
      <c r="C289" s="552">
        <v>0.16</v>
      </c>
      <c r="D289" s="552">
        <v>1.88</v>
      </c>
      <c r="E289" s="551" t="s">
        <v>156</v>
      </c>
      <c r="F289" s="551" t="s">
        <v>100</v>
      </c>
      <c r="G289" s="551" t="s">
        <v>1549</v>
      </c>
      <c r="H289" s="551" t="s">
        <v>100</v>
      </c>
      <c r="I289" s="551" t="s">
        <v>2035</v>
      </c>
      <c r="J289" s="551" t="s">
        <v>100</v>
      </c>
      <c r="K289" s="551" t="s">
        <v>100</v>
      </c>
      <c r="L289" s="551" t="s">
        <v>100</v>
      </c>
      <c r="M289" s="551" t="s">
        <v>100</v>
      </c>
    </row>
    <row r="290" spans="1:13" ht="15">
      <c r="A290" s="551" t="s">
        <v>756</v>
      </c>
      <c r="B290" s="551" t="s">
        <v>757</v>
      </c>
      <c r="C290" s="552">
        <v>0</v>
      </c>
      <c r="D290" s="552">
        <v>0</v>
      </c>
      <c r="E290" s="551" t="s">
        <v>156</v>
      </c>
      <c r="F290" s="551" t="s">
        <v>100</v>
      </c>
      <c r="G290" s="551" t="s">
        <v>1549</v>
      </c>
      <c r="H290" s="551" t="s">
        <v>100</v>
      </c>
      <c r="I290" s="551" t="s">
        <v>2035</v>
      </c>
      <c r="J290" s="551" t="s">
        <v>100</v>
      </c>
      <c r="K290" s="551" t="s">
        <v>100</v>
      </c>
      <c r="L290" s="551" t="s">
        <v>100</v>
      </c>
      <c r="M290" s="551" t="s">
        <v>100</v>
      </c>
    </row>
    <row r="291" spans="1:13" ht="15">
      <c r="A291" s="551" t="s">
        <v>758</v>
      </c>
      <c r="B291" s="551" t="s">
        <v>759</v>
      </c>
      <c r="C291" s="552">
        <v>152371.68</v>
      </c>
      <c r="D291" s="552">
        <v>547985.39</v>
      </c>
      <c r="E291" s="551" t="s">
        <v>156</v>
      </c>
      <c r="F291" s="551" t="s">
        <v>100</v>
      </c>
      <c r="G291" s="551" t="s">
        <v>1550</v>
      </c>
      <c r="H291" s="551" t="s">
        <v>760</v>
      </c>
      <c r="I291" s="551" t="s">
        <v>2035</v>
      </c>
      <c r="J291" s="551" t="s">
        <v>100</v>
      </c>
      <c r="K291" s="551" t="s">
        <v>100</v>
      </c>
      <c r="L291" s="551" t="s">
        <v>100</v>
      </c>
      <c r="M291" s="551" t="s">
        <v>100</v>
      </c>
    </row>
    <row r="292" spans="1:13" ht="15">
      <c r="A292" s="551" t="s">
        <v>761</v>
      </c>
      <c r="B292" s="551" t="s">
        <v>762</v>
      </c>
      <c r="C292" s="552">
        <v>0</v>
      </c>
      <c r="D292" s="552">
        <v>0</v>
      </c>
      <c r="E292" s="551" t="s">
        <v>156</v>
      </c>
      <c r="F292" s="551" t="s">
        <v>100</v>
      </c>
      <c r="G292" s="551" t="s">
        <v>1548</v>
      </c>
      <c r="H292" s="551" t="s">
        <v>100</v>
      </c>
      <c r="I292" s="551" t="s">
        <v>2035</v>
      </c>
      <c r="J292" s="551" t="s">
        <v>100</v>
      </c>
      <c r="K292" s="551" t="s">
        <v>100</v>
      </c>
      <c r="L292" s="551" t="s">
        <v>100</v>
      </c>
      <c r="M292" s="551" t="s">
        <v>100</v>
      </c>
    </row>
    <row r="293" spans="1:13" ht="15">
      <c r="A293" s="551" t="s">
        <v>763</v>
      </c>
      <c r="B293" s="551" t="s">
        <v>764</v>
      </c>
      <c r="C293" s="552">
        <v>283557.81</v>
      </c>
      <c r="D293" s="552">
        <v>550495.13</v>
      </c>
      <c r="E293" s="551" t="s">
        <v>156</v>
      </c>
      <c r="F293" s="551" t="s">
        <v>100</v>
      </c>
      <c r="G293" s="551" t="s">
        <v>1549</v>
      </c>
      <c r="H293" s="551" t="s">
        <v>100</v>
      </c>
      <c r="I293" s="551" t="s">
        <v>2038</v>
      </c>
      <c r="J293" s="551" t="s">
        <v>2037</v>
      </c>
      <c r="K293" s="551" t="s">
        <v>765</v>
      </c>
      <c r="L293" s="551" t="s">
        <v>100</v>
      </c>
      <c r="M293" s="551" t="s">
        <v>100</v>
      </c>
    </row>
    <row r="294" spans="1:13" ht="15">
      <c r="A294" s="551" t="s">
        <v>765</v>
      </c>
      <c r="B294" s="551" t="s">
        <v>766</v>
      </c>
      <c r="C294" s="552">
        <v>0</v>
      </c>
      <c r="D294" s="552">
        <v>0</v>
      </c>
      <c r="E294" s="551" t="s">
        <v>156</v>
      </c>
      <c r="F294" s="551" t="s">
        <v>100</v>
      </c>
      <c r="G294" s="551" t="s">
        <v>1549</v>
      </c>
      <c r="H294" s="551" t="s">
        <v>100</v>
      </c>
      <c r="I294" s="551" t="s">
        <v>2038</v>
      </c>
      <c r="J294" s="551" t="s">
        <v>2037</v>
      </c>
      <c r="K294" s="551" t="s">
        <v>765</v>
      </c>
      <c r="L294" s="551" t="s">
        <v>100</v>
      </c>
      <c r="M294" s="551" t="s">
        <v>100</v>
      </c>
    </row>
    <row r="295" spans="1:13" ht="15">
      <c r="A295" s="551" t="s">
        <v>767</v>
      </c>
      <c r="B295" s="551" t="s">
        <v>768</v>
      </c>
      <c r="C295" s="552">
        <v>116196.22</v>
      </c>
      <c r="D295" s="552">
        <v>167746.22</v>
      </c>
      <c r="E295" s="551" t="s">
        <v>156</v>
      </c>
      <c r="F295" s="551" t="s">
        <v>100</v>
      </c>
      <c r="G295" s="551" t="s">
        <v>1549</v>
      </c>
      <c r="H295" s="551" t="s">
        <v>100</v>
      </c>
      <c r="I295" s="551" t="s">
        <v>2038</v>
      </c>
      <c r="J295" s="551" t="s">
        <v>2037</v>
      </c>
      <c r="K295" s="551" t="s">
        <v>767</v>
      </c>
      <c r="L295" s="551" t="s">
        <v>100</v>
      </c>
      <c r="M295" s="551" t="s">
        <v>100</v>
      </c>
    </row>
    <row r="296" spans="1:13" ht="15">
      <c r="A296" s="551" t="s">
        <v>769</v>
      </c>
      <c r="B296" s="551" t="s">
        <v>770</v>
      </c>
      <c r="C296" s="552">
        <v>2317.1</v>
      </c>
      <c r="D296" s="552">
        <v>8390.93</v>
      </c>
      <c r="E296" s="551" t="s">
        <v>156</v>
      </c>
      <c r="F296" s="551" t="s">
        <v>100</v>
      </c>
      <c r="G296" s="551" t="s">
        <v>1549</v>
      </c>
      <c r="H296" s="551" t="s">
        <v>100</v>
      </c>
      <c r="I296" s="551" t="s">
        <v>2038</v>
      </c>
      <c r="J296" s="551" t="s">
        <v>2037</v>
      </c>
      <c r="K296" s="551" t="s">
        <v>769</v>
      </c>
      <c r="L296" s="551" t="s">
        <v>100</v>
      </c>
      <c r="M296" s="551" t="s">
        <v>100</v>
      </c>
    </row>
    <row r="297" spans="1:13" ht="15">
      <c r="A297" s="551" t="s">
        <v>771</v>
      </c>
      <c r="B297" s="551" t="s">
        <v>772</v>
      </c>
      <c r="C297" s="552">
        <v>184309.21</v>
      </c>
      <c r="D297" s="552">
        <v>190925.3</v>
      </c>
      <c r="E297" s="551" t="s">
        <v>156</v>
      </c>
      <c r="F297" s="551" t="s">
        <v>100</v>
      </c>
      <c r="G297" s="551" t="s">
        <v>1549</v>
      </c>
      <c r="H297" s="551" t="s">
        <v>100</v>
      </c>
      <c r="I297" s="551" t="s">
        <v>2038</v>
      </c>
      <c r="J297" s="551" t="s">
        <v>2037</v>
      </c>
      <c r="K297" s="551" t="s">
        <v>771</v>
      </c>
      <c r="L297" s="551" t="s">
        <v>100</v>
      </c>
      <c r="M297" s="551" t="s">
        <v>100</v>
      </c>
    </row>
    <row r="298" spans="1:13" ht="15">
      <c r="A298" s="551" t="s">
        <v>773</v>
      </c>
      <c r="B298" s="551" t="s">
        <v>774</v>
      </c>
      <c r="C298" s="552">
        <v>0</v>
      </c>
      <c r="D298" s="552">
        <v>-31738.76</v>
      </c>
      <c r="E298" s="551" t="s">
        <v>156</v>
      </c>
      <c r="F298" s="551" t="s">
        <v>100</v>
      </c>
      <c r="G298" s="551" t="s">
        <v>1549</v>
      </c>
      <c r="H298" s="551" t="s">
        <v>100</v>
      </c>
      <c r="I298" s="551" t="s">
        <v>2038</v>
      </c>
      <c r="J298" s="551" t="s">
        <v>2037</v>
      </c>
      <c r="K298" s="551" t="s">
        <v>773</v>
      </c>
      <c r="L298" s="551" t="s">
        <v>100</v>
      </c>
      <c r="M298" s="551" t="s">
        <v>100</v>
      </c>
    </row>
    <row r="299" spans="1:13" ht="15">
      <c r="A299" s="551" t="s">
        <v>775</v>
      </c>
      <c r="B299" s="551" t="s">
        <v>776</v>
      </c>
      <c r="C299" s="552">
        <v>586380.34</v>
      </c>
      <c r="D299" s="552">
        <v>885818.82</v>
      </c>
      <c r="E299" s="551" t="s">
        <v>156</v>
      </c>
      <c r="F299" s="551" t="s">
        <v>100</v>
      </c>
      <c r="G299" s="551" t="s">
        <v>1550</v>
      </c>
      <c r="H299" s="551" t="s">
        <v>777</v>
      </c>
      <c r="I299" s="551" t="s">
        <v>2035</v>
      </c>
      <c r="J299" s="551" t="s">
        <v>100</v>
      </c>
      <c r="K299" s="551" t="s">
        <v>100</v>
      </c>
      <c r="L299" s="551" t="s">
        <v>100</v>
      </c>
      <c r="M299" s="551" t="s">
        <v>100</v>
      </c>
    </row>
    <row r="300" spans="1:13" ht="15">
      <c r="A300" s="551" t="s">
        <v>778</v>
      </c>
      <c r="B300" s="551" t="s">
        <v>779</v>
      </c>
      <c r="C300" s="552">
        <v>0</v>
      </c>
      <c r="D300" s="552">
        <v>0</v>
      </c>
      <c r="E300" s="551" t="s">
        <v>156</v>
      </c>
      <c r="F300" s="551" t="s">
        <v>100</v>
      </c>
      <c r="G300" s="551" t="s">
        <v>1548</v>
      </c>
      <c r="H300" s="551" t="s">
        <v>100</v>
      </c>
      <c r="I300" s="551" t="s">
        <v>2035</v>
      </c>
      <c r="J300" s="551" t="s">
        <v>100</v>
      </c>
      <c r="K300" s="551" t="s">
        <v>100</v>
      </c>
      <c r="L300" s="551" t="s">
        <v>100</v>
      </c>
      <c r="M300" s="551" t="s">
        <v>100</v>
      </c>
    </row>
    <row r="301" spans="1:13" ht="15">
      <c r="A301" s="551" t="s">
        <v>780</v>
      </c>
      <c r="B301" s="551" t="s">
        <v>781</v>
      </c>
      <c r="C301" s="552">
        <v>94031</v>
      </c>
      <c r="D301" s="552">
        <v>224815.1</v>
      </c>
      <c r="E301" s="551" t="s">
        <v>156</v>
      </c>
      <c r="F301" s="551" t="s">
        <v>100</v>
      </c>
      <c r="G301" s="551" t="s">
        <v>1549</v>
      </c>
      <c r="H301" s="551" t="s">
        <v>100</v>
      </c>
      <c r="I301" s="551" t="s">
        <v>2038</v>
      </c>
      <c r="J301" s="551" t="s">
        <v>2037</v>
      </c>
      <c r="K301" s="551" t="s">
        <v>780</v>
      </c>
      <c r="L301" s="551" t="s">
        <v>100</v>
      </c>
      <c r="M301" s="551" t="s">
        <v>100</v>
      </c>
    </row>
    <row r="302" spans="1:13" ht="15">
      <c r="A302" s="551" t="s">
        <v>782</v>
      </c>
      <c r="B302" s="551" t="s">
        <v>446</v>
      </c>
      <c r="C302" s="552">
        <v>0</v>
      </c>
      <c r="D302" s="552">
        <v>140134.29</v>
      </c>
      <c r="E302" s="551" t="s">
        <v>156</v>
      </c>
      <c r="F302" s="551" t="s">
        <v>100</v>
      </c>
      <c r="G302" s="551" t="s">
        <v>1549</v>
      </c>
      <c r="H302" s="551" t="s">
        <v>100</v>
      </c>
      <c r="I302" s="551" t="s">
        <v>2038</v>
      </c>
      <c r="J302" s="551" t="s">
        <v>2037</v>
      </c>
      <c r="K302" s="551" t="s">
        <v>782</v>
      </c>
      <c r="L302" s="551" t="s">
        <v>100</v>
      </c>
      <c r="M302" s="551" t="s">
        <v>100</v>
      </c>
    </row>
    <row r="303" spans="1:13" ht="15">
      <c r="A303" s="551" t="s">
        <v>783</v>
      </c>
      <c r="B303" s="551" t="s">
        <v>784</v>
      </c>
      <c r="C303" s="552">
        <v>0</v>
      </c>
      <c r="D303" s="552">
        <v>0</v>
      </c>
      <c r="E303" s="551" t="s">
        <v>156</v>
      </c>
      <c r="F303" s="551" t="s">
        <v>100</v>
      </c>
      <c r="G303" s="551" t="s">
        <v>1549</v>
      </c>
      <c r="H303" s="551" t="s">
        <v>100</v>
      </c>
      <c r="I303" s="551" t="s">
        <v>2038</v>
      </c>
      <c r="J303" s="551" t="s">
        <v>2037</v>
      </c>
      <c r="K303" s="551" t="s">
        <v>100</v>
      </c>
      <c r="L303" s="551" t="s">
        <v>100</v>
      </c>
      <c r="M303" s="551" t="s">
        <v>100</v>
      </c>
    </row>
    <row r="304" spans="1:13" ht="15">
      <c r="A304" s="551" t="s">
        <v>785</v>
      </c>
      <c r="B304" s="551" t="s">
        <v>786</v>
      </c>
      <c r="C304" s="552">
        <v>94031</v>
      </c>
      <c r="D304" s="552">
        <v>364949.39</v>
      </c>
      <c r="E304" s="551" t="s">
        <v>156</v>
      </c>
      <c r="F304" s="551" t="s">
        <v>100</v>
      </c>
      <c r="G304" s="551" t="s">
        <v>1550</v>
      </c>
      <c r="H304" s="551" t="s">
        <v>787</v>
      </c>
      <c r="I304" s="551" t="s">
        <v>2035</v>
      </c>
      <c r="J304" s="551" t="s">
        <v>100</v>
      </c>
      <c r="K304" s="551" t="s">
        <v>100</v>
      </c>
      <c r="L304" s="551" t="s">
        <v>100</v>
      </c>
      <c r="M304" s="551" t="s">
        <v>100</v>
      </c>
    </row>
    <row r="305" spans="1:13" ht="15">
      <c r="A305" s="551" t="s">
        <v>788</v>
      </c>
      <c r="B305" s="551" t="s">
        <v>789</v>
      </c>
      <c r="C305" s="552">
        <v>0</v>
      </c>
      <c r="D305" s="552">
        <v>0</v>
      </c>
      <c r="E305" s="551" t="s">
        <v>156</v>
      </c>
      <c r="F305" s="551" t="s">
        <v>100</v>
      </c>
      <c r="G305" s="551" t="s">
        <v>1548</v>
      </c>
      <c r="H305" s="551" t="s">
        <v>100</v>
      </c>
      <c r="I305" s="551" t="s">
        <v>2035</v>
      </c>
      <c r="J305" s="551" t="s">
        <v>100</v>
      </c>
      <c r="K305" s="551" t="s">
        <v>100</v>
      </c>
      <c r="L305" s="551" t="s">
        <v>100</v>
      </c>
      <c r="M305" s="551" t="s">
        <v>100</v>
      </c>
    </row>
    <row r="306" spans="1:13" ht="15">
      <c r="A306" s="551" t="s">
        <v>790</v>
      </c>
      <c r="B306" s="551" t="s">
        <v>733</v>
      </c>
      <c r="C306" s="552">
        <v>0</v>
      </c>
      <c r="D306" s="552">
        <v>0</v>
      </c>
      <c r="E306" s="551" t="s">
        <v>156</v>
      </c>
      <c r="F306" s="551" t="s">
        <v>100</v>
      </c>
      <c r="G306" s="551" t="s">
        <v>1548</v>
      </c>
      <c r="H306" s="551" t="s">
        <v>100</v>
      </c>
      <c r="I306" s="551" t="s">
        <v>2035</v>
      </c>
      <c r="J306" s="551" t="s">
        <v>100</v>
      </c>
      <c r="K306" s="551" t="s">
        <v>100</v>
      </c>
      <c r="L306" s="551" t="s">
        <v>100</v>
      </c>
      <c r="M306" s="551" t="s">
        <v>100</v>
      </c>
    </row>
    <row r="307" spans="1:13" ht="15">
      <c r="A307" s="551" t="s">
        <v>791</v>
      </c>
      <c r="B307" s="551" t="s">
        <v>792</v>
      </c>
      <c r="C307" s="552">
        <v>0</v>
      </c>
      <c r="D307" s="552">
        <v>-300</v>
      </c>
      <c r="E307" s="551" t="s">
        <v>156</v>
      </c>
      <c r="F307" s="551" t="s">
        <v>100</v>
      </c>
      <c r="G307" s="551" t="s">
        <v>1549</v>
      </c>
      <c r="H307" s="551" t="s">
        <v>100</v>
      </c>
      <c r="I307" s="551" t="s">
        <v>2038</v>
      </c>
      <c r="J307" s="551" t="s">
        <v>2037</v>
      </c>
      <c r="K307" s="551" t="s">
        <v>791</v>
      </c>
      <c r="L307" s="551" t="s">
        <v>100</v>
      </c>
      <c r="M307" s="551" t="s">
        <v>100</v>
      </c>
    </row>
    <row r="308" spans="1:13" ht="15">
      <c r="A308" s="551" t="s">
        <v>793</v>
      </c>
      <c r="B308" s="551" t="s">
        <v>1587</v>
      </c>
      <c r="C308" s="552">
        <v>39727.589999999997</v>
      </c>
      <c r="D308" s="552">
        <v>172773.85</v>
      </c>
      <c r="E308" s="551" t="s">
        <v>156</v>
      </c>
      <c r="F308" s="551" t="s">
        <v>100</v>
      </c>
      <c r="G308" s="551" t="s">
        <v>1549</v>
      </c>
      <c r="H308" s="551" t="s">
        <v>100</v>
      </c>
      <c r="I308" s="551" t="s">
        <v>2038</v>
      </c>
      <c r="J308" s="551" t="s">
        <v>2037</v>
      </c>
      <c r="K308" s="551" t="s">
        <v>793</v>
      </c>
      <c r="L308" s="551" t="s">
        <v>100</v>
      </c>
      <c r="M308" s="551" t="s">
        <v>100</v>
      </c>
    </row>
    <row r="309" spans="1:13" ht="15">
      <c r="A309" s="551" t="s">
        <v>795</v>
      </c>
      <c r="B309" s="551" t="s">
        <v>796</v>
      </c>
      <c r="C309" s="552">
        <v>49196.24</v>
      </c>
      <c r="D309" s="552">
        <v>253844.66</v>
      </c>
      <c r="E309" s="551" t="s">
        <v>156</v>
      </c>
      <c r="F309" s="551" t="s">
        <v>100</v>
      </c>
      <c r="G309" s="551" t="s">
        <v>1549</v>
      </c>
      <c r="H309" s="551" t="s">
        <v>100</v>
      </c>
      <c r="I309" s="551" t="s">
        <v>2038</v>
      </c>
      <c r="J309" s="551" t="s">
        <v>2037</v>
      </c>
      <c r="K309" s="551" t="s">
        <v>795</v>
      </c>
      <c r="L309" s="551" t="s">
        <v>100</v>
      </c>
      <c r="M309" s="551" t="s">
        <v>100</v>
      </c>
    </row>
    <row r="310" spans="1:13" ht="15">
      <c r="A310" s="551" t="s">
        <v>797</v>
      </c>
      <c r="B310" s="551" t="s">
        <v>1588</v>
      </c>
      <c r="C310" s="552">
        <v>0</v>
      </c>
      <c r="D310" s="552">
        <v>0</v>
      </c>
      <c r="E310" s="551" t="s">
        <v>156</v>
      </c>
      <c r="F310" s="551" t="s">
        <v>100</v>
      </c>
      <c r="G310" s="551" t="s">
        <v>1549</v>
      </c>
      <c r="H310" s="551" t="s">
        <v>100</v>
      </c>
      <c r="I310" s="551" t="s">
        <v>2035</v>
      </c>
      <c r="J310" s="551" t="s">
        <v>100</v>
      </c>
      <c r="K310" s="551" t="s">
        <v>100</v>
      </c>
      <c r="L310" s="551" t="s">
        <v>100</v>
      </c>
      <c r="M310" s="551" t="s">
        <v>100</v>
      </c>
    </row>
    <row r="311" spans="1:13" ht="15">
      <c r="A311" s="551" t="s">
        <v>799</v>
      </c>
      <c r="B311" s="551" t="s">
        <v>798</v>
      </c>
      <c r="C311" s="552">
        <v>63354.39</v>
      </c>
      <c r="D311" s="552">
        <v>200951.61</v>
      </c>
      <c r="E311" s="551" t="s">
        <v>156</v>
      </c>
      <c r="F311" s="551" t="s">
        <v>100</v>
      </c>
      <c r="G311" s="551" t="s">
        <v>1549</v>
      </c>
      <c r="H311" s="551" t="s">
        <v>100</v>
      </c>
      <c r="I311" s="551" t="s">
        <v>2038</v>
      </c>
      <c r="J311" s="551" t="s">
        <v>2037</v>
      </c>
      <c r="K311" s="551" t="s">
        <v>799</v>
      </c>
      <c r="L311" s="551" t="s">
        <v>100</v>
      </c>
      <c r="M311" s="551" t="s">
        <v>100</v>
      </c>
    </row>
    <row r="312" spans="1:13" ht="15">
      <c r="A312" s="551" t="s">
        <v>801</v>
      </c>
      <c r="B312" s="551" t="s">
        <v>802</v>
      </c>
      <c r="C312" s="552">
        <v>21982.3</v>
      </c>
      <c r="D312" s="552">
        <v>131897.31</v>
      </c>
      <c r="E312" s="551" t="s">
        <v>156</v>
      </c>
      <c r="F312" s="551" t="s">
        <v>100</v>
      </c>
      <c r="G312" s="551" t="s">
        <v>1549</v>
      </c>
      <c r="H312" s="551" t="s">
        <v>100</v>
      </c>
      <c r="I312" s="551" t="s">
        <v>2038</v>
      </c>
      <c r="J312" s="551" t="s">
        <v>2037</v>
      </c>
      <c r="K312" s="551" t="s">
        <v>801</v>
      </c>
      <c r="L312" s="551" t="s">
        <v>100</v>
      </c>
      <c r="M312" s="551" t="s">
        <v>100</v>
      </c>
    </row>
    <row r="313" spans="1:13" ht="15">
      <c r="A313" s="551" t="s">
        <v>803</v>
      </c>
      <c r="B313" s="551" t="s">
        <v>804</v>
      </c>
      <c r="C313" s="552">
        <v>216585.73</v>
      </c>
      <c r="D313" s="552">
        <v>1085530.98</v>
      </c>
      <c r="E313" s="551" t="s">
        <v>156</v>
      </c>
      <c r="F313" s="551" t="s">
        <v>100</v>
      </c>
      <c r="G313" s="551" t="s">
        <v>1549</v>
      </c>
      <c r="H313" s="551" t="s">
        <v>100</v>
      </c>
      <c r="I313" s="551" t="s">
        <v>2038</v>
      </c>
      <c r="J313" s="551" t="s">
        <v>2037</v>
      </c>
      <c r="K313" s="551" t="s">
        <v>803</v>
      </c>
      <c r="L313" s="551" t="s">
        <v>100</v>
      </c>
      <c r="M313" s="551" t="s">
        <v>100</v>
      </c>
    </row>
    <row r="314" spans="1:13" ht="15">
      <c r="A314" s="551" t="s">
        <v>1590</v>
      </c>
      <c r="B314" s="551" t="s">
        <v>1591</v>
      </c>
      <c r="C314" s="552">
        <v>19288.87</v>
      </c>
      <c r="D314" s="552">
        <v>24919.279999999999</v>
      </c>
      <c r="E314" s="551" t="s">
        <v>156</v>
      </c>
      <c r="F314" s="551" t="s">
        <v>100</v>
      </c>
      <c r="G314" s="551" t="s">
        <v>1549</v>
      </c>
      <c r="H314" s="551" t="s">
        <v>100</v>
      </c>
      <c r="I314" s="551" t="s">
        <v>2038</v>
      </c>
      <c r="J314" s="551" t="s">
        <v>2037</v>
      </c>
      <c r="K314" s="551" t="s">
        <v>1590</v>
      </c>
      <c r="L314" s="551" t="s">
        <v>100</v>
      </c>
      <c r="M314" s="551" t="s">
        <v>100</v>
      </c>
    </row>
    <row r="315" spans="1:13" ht="15">
      <c r="A315" s="551" t="s">
        <v>805</v>
      </c>
      <c r="B315" s="551" t="s">
        <v>806</v>
      </c>
      <c r="C315" s="552">
        <v>410135.12</v>
      </c>
      <c r="D315" s="552">
        <v>1869617.69</v>
      </c>
      <c r="E315" s="551" t="s">
        <v>156</v>
      </c>
      <c r="F315" s="551" t="s">
        <v>100</v>
      </c>
      <c r="G315" s="551" t="s">
        <v>1550</v>
      </c>
      <c r="H315" s="551" t="s">
        <v>807</v>
      </c>
      <c r="I315" s="551" t="s">
        <v>2035</v>
      </c>
      <c r="J315" s="551" t="s">
        <v>100</v>
      </c>
      <c r="K315" s="551" t="s">
        <v>100</v>
      </c>
      <c r="L315" s="551" t="s">
        <v>100</v>
      </c>
      <c r="M315" s="551" t="s">
        <v>100</v>
      </c>
    </row>
    <row r="316" spans="1:13" ht="15">
      <c r="A316" s="551" t="s">
        <v>808</v>
      </c>
      <c r="B316" s="551" t="s">
        <v>735</v>
      </c>
      <c r="C316" s="552">
        <v>0</v>
      </c>
      <c r="D316" s="552">
        <v>0</v>
      </c>
      <c r="E316" s="551" t="s">
        <v>156</v>
      </c>
      <c r="F316" s="551" t="s">
        <v>100</v>
      </c>
      <c r="G316" s="551" t="s">
        <v>1548</v>
      </c>
      <c r="H316" s="551" t="s">
        <v>100</v>
      </c>
      <c r="I316" s="551" t="s">
        <v>2035</v>
      </c>
      <c r="J316" s="551" t="s">
        <v>100</v>
      </c>
      <c r="K316" s="551" t="s">
        <v>100</v>
      </c>
      <c r="L316" s="551" t="s">
        <v>100</v>
      </c>
      <c r="M316" s="551" t="s">
        <v>100</v>
      </c>
    </row>
    <row r="317" spans="1:13" ht="15">
      <c r="A317" s="551" t="s">
        <v>809</v>
      </c>
      <c r="B317" s="551" t="s">
        <v>735</v>
      </c>
      <c r="C317" s="552">
        <v>0</v>
      </c>
      <c r="D317" s="552">
        <v>0</v>
      </c>
      <c r="E317" s="551" t="s">
        <v>156</v>
      </c>
      <c r="F317" s="551" t="s">
        <v>100</v>
      </c>
      <c r="G317" s="551" t="s">
        <v>1549</v>
      </c>
      <c r="H317" s="551" t="s">
        <v>100</v>
      </c>
      <c r="I317" s="551" t="s">
        <v>2038</v>
      </c>
      <c r="J317" s="551" t="s">
        <v>2037</v>
      </c>
      <c r="K317" s="551" t="s">
        <v>809</v>
      </c>
      <c r="L317" s="551" t="s">
        <v>100</v>
      </c>
      <c r="M317" s="551" t="s">
        <v>100</v>
      </c>
    </row>
    <row r="318" spans="1:13" ht="15">
      <c r="A318" s="551" t="s">
        <v>810</v>
      </c>
      <c r="B318" s="551" t="s">
        <v>811</v>
      </c>
      <c r="C318" s="552">
        <v>0</v>
      </c>
      <c r="D318" s="552">
        <v>0</v>
      </c>
      <c r="E318" s="551" t="s">
        <v>156</v>
      </c>
      <c r="F318" s="551" t="s">
        <v>100</v>
      </c>
      <c r="G318" s="551" t="s">
        <v>1550</v>
      </c>
      <c r="H318" s="551" t="s">
        <v>812</v>
      </c>
      <c r="I318" s="551" t="s">
        <v>2035</v>
      </c>
      <c r="J318" s="551" t="s">
        <v>100</v>
      </c>
      <c r="K318" s="551" t="s">
        <v>100</v>
      </c>
      <c r="L318" s="551" t="s">
        <v>100</v>
      </c>
      <c r="M318" s="551" t="s">
        <v>100</v>
      </c>
    </row>
    <row r="319" spans="1:13" ht="15">
      <c r="A319" s="551" t="s">
        <v>813</v>
      </c>
      <c r="B319" s="551" t="s">
        <v>814</v>
      </c>
      <c r="C319" s="552">
        <v>410135.12</v>
      </c>
      <c r="D319" s="552">
        <v>1869617.69</v>
      </c>
      <c r="E319" s="551" t="s">
        <v>156</v>
      </c>
      <c r="F319" s="551" t="s">
        <v>100</v>
      </c>
      <c r="G319" s="551" t="s">
        <v>1550</v>
      </c>
      <c r="H319" s="551" t="s">
        <v>815</v>
      </c>
      <c r="I319" s="551" t="s">
        <v>2035</v>
      </c>
      <c r="J319" s="551" t="s">
        <v>100</v>
      </c>
      <c r="K319" s="551" t="s">
        <v>100</v>
      </c>
      <c r="L319" s="551" t="s">
        <v>100</v>
      </c>
      <c r="M319" s="551" t="s">
        <v>100</v>
      </c>
    </row>
    <row r="320" spans="1:13" ht="15">
      <c r="A320" s="551" t="s">
        <v>816</v>
      </c>
      <c r="B320" s="551" t="s">
        <v>817</v>
      </c>
      <c r="C320" s="552">
        <v>0</v>
      </c>
      <c r="D320" s="552">
        <v>0</v>
      </c>
      <c r="E320" s="551" t="s">
        <v>156</v>
      </c>
      <c r="F320" s="551" t="s">
        <v>100</v>
      </c>
      <c r="G320" s="551" t="s">
        <v>1548</v>
      </c>
      <c r="H320" s="551" t="s">
        <v>100</v>
      </c>
      <c r="I320" s="551" t="s">
        <v>2035</v>
      </c>
      <c r="J320" s="551" t="s">
        <v>100</v>
      </c>
      <c r="K320" s="551" t="s">
        <v>100</v>
      </c>
      <c r="L320" s="551" t="s">
        <v>100</v>
      </c>
      <c r="M320" s="551" t="s">
        <v>100</v>
      </c>
    </row>
    <row r="321" spans="1:13" ht="15">
      <c r="A321" s="551" t="s">
        <v>818</v>
      </c>
      <c r="B321" s="551" t="s">
        <v>819</v>
      </c>
      <c r="C321" s="552">
        <v>0</v>
      </c>
      <c r="D321" s="552">
        <v>37500</v>
      </c>
      <c r="E321" s="551" t="s">
        <v>156</v>
      </c>
      <c r="F321" s="551" t="s">
        <v>100</v>
      </c>
      <c r="G321" s="551" t="s">
        <v>1549</v>
      </c>
      <c r="H321" s="551" t="s">
        <v>100</v>
      </c>
      <c r="I321" s="551" t="s">
        <v>2035</v>
      </c>
      <c r="J321" s="551" t="s">
        <v>100</v>
      </c>
      <c r="K321" s="551" t="s">
        <v>100</v>
      </c>
      <c r="L321" s="551" t="s">
        <v>100</v>
      </c>
      <c r="M321" s="551" t="s">
        <v>100</v>
      </c>
    </row>
    <row r="322" spans="1:13" ht="15">
      <c r="A322" s="551" t="s">
        <v>820</v>
      </c>
      <c r="B322" s="551" t="s">
        <v>821</v>
      </c>
      <c r="C322" s="552">
        <v>0</v>
      </c>
      <c r="D322" s="552">
        <v>37500</v>
      </c>
      <c r="E322" s="551" t="s">
        <v>156</v>
      </c>
      <c r="F322" s="551" t="s">
        <v>100</v>
      </c>
      <c r="G322" s="551" t="s">
        <v>1550</v>
      </c>
      <c r="H322" s="551" t="s">
        <v>822</v>
      </c>
      <c r="I322" s="551" t="s">
        <v>2035</v>
      </c>
      <c r="J322" s="551" t="s">
        <v>100</v>
      </c>
      <c r="K322" s="551" t="s">
        <v>100</v>
      </c>
      <c r="L322" s="551" t="s">
        <v>100</v>
      </c>
      <c r="M322" s="551" t="s">
        <v>100</v>
      </c>
    </row>
    <row r="323" spans="1:13" ht="15">
      <c r="A323" s="551" t="s">
        <v>823</v>
      </c>
      <c r="B323" s="551" t="s">
        <v>824</v>
      </c>
      <c r="C323" s="552">
        <v>0</v>
      </c>
      <c r="D323" s="552">
        <v>0</v>
      </c>
      <c r="E323" s="551" t="s">
        <v>156</v>
      </c>
      <c r="F323" s="551" t="s">
        <v>100</v>
      </c>
      <c r="G323" s="551" t="s">
        <v>1548</v>
      </c>
      <c r="H323" s="551" t="s">
        <v>100</v>
      </c>
      <c r="I323" s="551" t="s">
        <v>2035</v>
      </c>
      <c r="J323" s="551" t="s">
        <v>100</v>
      </c>
      <c r="K323" s="551" t="s">
        <v>100</v>
      </c>
      <c r="L323" s="551" t="s">
        <v>100</v>
      </c>
      <c r="M323" s="551" t="s">
        <v>100</v>
      </c>
    </row>
    <row r="324" spans="1:13" ht="15">
      <c r="A324" s="551" t="s">
        <v>825</v>
      </c>
      <c r="B324" s="551" t="s">
        <v>826</v>
      </c>
      <c r="C324" s="552">
        <v>0</v>
      </c>
      <c r="D324" s="552">
        <v>24901</v>
      </c>
      <c r="E324" s="551" t="s">
        <v>156</v>
      </c>
      <c r="F324" s="551" t="s">
        <v>100</v>
      </c>
      <c r="G324" s="551" t="s">
        <v>1549</v>
      </c>
      <c r="H324" s="551" t="s">
        <v>100</v>
      </c>
      <c r="I324" s="551" t="s">
        <v>2038</v>
      </c>
      <c r="J324" s="551" t="s">
        <v>2037</v>
      </c>
      <c r="K324" s="551" t="s">
        <v>825</v>
      </c>
      <c r="L324" s="551" t="s">
        <v>100</v>
      </c>
      <c r="M324" s="551" t="s">
        <v>100</v>
      </c>
    </row>
    <row r="325" spans="1:13" ht="15">
      <c r="A325" s="551" t="s">
        <v>827</v>
      </c>
      <c r="B325" s="551" t="s">
        <v>828</v>
      </c>
      <c r="C325" s="552">
        <v>0</v>
      </c>
      <c r="D325" s="552">
        <v>24901</v>
      </c>
      <c r="E325" s="551" t="s">
        <v>156</v>
      </c>
      <c r="F325" s="551" t="s">
        <v>100</v>
      </c>
      <c r="G325" s="551" t="s">
        <v>1550</v>
      </c>
      <c r="H325" s="551" t="s">
        <v>829</v>
      </c>
      <c r="I325" s="551" t="s">
        <v>2035</v>
      </c>
      <c r="J325" s="551" t="s">
        <v>100</v>
      </c>
      <c r="K325" s="551" t="s">
        <v>100</v>
      </c>
      <c r="L325" s="551" t="s">
        <v>100</v>
      </c>
      <c r="M325" s="551" t="s">
        <v>100</v>
      </c>
    </row>
    <row r="326" spans="1:13" ht="15">
      <c r="A326" s="551" t="s">
        <v>830</v>
      </c>
      <c r="B326" s="551" t="s">
        <v>831</v>
      </c>
      <c r="C326" s="552">
        <v>1242918.1399999999</v>
      </c>
      <c r="D326" s="552">
        <v>3730772.29</v>
      </c>
      <c r="E326" s="551" t="s">
        <v>156</v>
      </c>
      <c r="F326" s="551" t="s">
        <v>100</v>
      </c>
      <c r="G326" s="551" t="s">
        <v>1550</v>
      </c>
      <c r="H326" s="551" t="s">
        <v>832</v>
      </c>
      <c r="I326" s="551" t="s">
        <v>2035</v>
      </c>
      <c r="J326" s="551" t="s">
        <v>100</v>
      </c>
      <c r="K326" s="551" t="s">
        <v>100</v>
      </c>
      <c r="L326" s="551" t="s">
        <v>100</v>
      </c>
      <c r="M326" s="551" t="s">
        <v>100</v>
      </c>
    </row>
    <row r="327" spans="1:13" ht="15">
      <c r="A327" s="551" t="s">
        <v>833</v>
      </c>
      <c r="B327" s="551" t="s">
        <v>97</v>
      </c>
      <c r="C327" s="552">
        <v>0</v>
      </c>
      <c r="D327" s="552">
        <v>0</v>
      </c>
      <c r="E327" s="551" t="s">
        <v>156</v>
      </c>
      <c r="F327" s="551" t="s">
        <v>100</v>
      </c>
      <c r="G327" s="551" t="s">
        <v>1548</v>
      </c>
      <c r="H327" s="551" t="s">
        <v>100</v>
      </c>
      <c r="I327" s="551" t="s">
        <v>2035</v>
      </c>
      <c r="J327" s="551" t="s">
        <v>100</v>
      </c>
      <c r="K327" s="551" t="s">
        <v>100</v>
      </c>
      <c r="L327" s="551" t="s">
        <v>100</v>
      </c>
      <c r="M327" s="551" t="s">
        <v>100</v>
      </c>
    </row>
    <row r="328" spans="1:13" ht="15">
      <c r="A328" s="551" t="s">
        <v>834</v>
      </c>
      <c r="B328" s="551" t="s">
        <v>835</v>
      </c>
      <c r="C328" s="552">
        <v>0</v>
      </c>
      <c r="D328" s="552">
        <v>2091.67</v>
      </c>
      <c r="E328" s="551" t="s">
        <v>156</v>
      </c>
      <c r="F328" s="551" t="s">
        <v>100</v>
      </c>
      <c r="G328" s="551" t="s">
        <v>1549</v>
      </c>
      <c r="H328" s="551" t="s">
        <v>100</v>
      </c>
      <c r="I328" s="551" t="s">
        <v>2035</v>
      </c>
      <c r="J328" s="551" t="s">
        <v>100</v>
      </c>
      <c r="K328" s="551" t="s">
        <v>100</v>
      </c>
      <c r="L328" s="551" t="s">
        <v>100</v>
      </c>
      <c r="M328" s="551" t="s">
        <v>100</v>
      </c>
    </row>
    <row r="329" spans="1:13" ht="15">
      <c r="A329" s="551" t="s">
        <v>836</v>
      </c>
      <c r="B329" s="551" t="s">
        <v>837</v>
      </c>
      <c r="C329" s="552">
        <v>5535.64</v>
      </c>
      <c r="D329" s="552">
        <v>29595.21</v>
      </c>
      <c r="E329" s="551" t="s">
        <v>156</v>
      </c>
      <c r="F329" s="551" t="s">
        <v>100</v>
      </c>
      <c r="G329" s="551" t="s">
        <v>1549</v>
      </c>
      <c r="H329" s="551" t="s">
        <v>100</v>
      </c>
      <c r="I329" s="551" t="s">
        <v>2038</v>
      </c>
      <c r="J329" s="551" t="s">
        <v>2037</v>
      </c>
      <c r="K329" s="551" t="s">
        <v>836</v>
      </c>
      <c r="L329" s="551" t="s">
        <v>100</v>
      </c>
      <c r="M329" s="551" t="s">
        <v>100</v>
      </c>
    </row>
    <row r="330" spans="1:13" ht="15">
      <c r="A330" s="551" t="s">
        <v>838</v>
      </c>
      <c r="B330" s="551" t="s">
        <v>839</v>
      </c>
      <c r="C330" s="552">
        <v>5535.64</v>
      </c>
      <c r="D330" s="552">
        <v>31686.880000000001</v>
      </c>
      <c r="E330" s="551" t="s">
        <v>156</v>
      </c>
      <c r="F330" s="551" t="s">
        <v>100</v>
      </c>
      <c r="G330" s="551" t="s">
        <v>1550</v>
      </c>
      <c r="H330" s="551" t="s">
        <v>840</v>
      </c>
      <c r="I330" s="551" t="s">
        <v>2035</v>
      </c>
      <c r="J330" s="551" t="s">
        <v>100</v>
      </c>
      <c r="K330" s="551" t="s">
        <v>100</v>
      </c>
      <c r="L330" s="551" t="s">
        <v>100</v>
      </c>
      <c r="M330" s="551" t="s">
        <v>100</v>
      </c>
    </row>
    <row r="331" spans="1:13" ht="15">
      <c r="A331" s="551" t="s">
        <v>841</v>
      </c>
      <c r="B331" s="551" t="s">
        <v>1152</v>
      </c>
      <c r="C331" s="552">
        <v>6137519.3399999999</v>
      </c>
      <c r="D331" s="552">
        <v>22606384.800000001</v>
      </c>
      <c r="E331" s="551" t="s">
        <v>156</v>
      </c>
      <c r="F331" s="551" t="s">
        <v>100</v>
      </c>
      <c r="G331" s="551" t="s">
        <v>1550</v>
      </c>
      <c r="H331" s="551" t="s">
        <v>843</v>
      </c>
      <c r="I331" s="551" t="s">
        <v>2035</v>
      </c>
      <c r="J331" s="551" t="s">
        <v>100</v>
      </c>
      <c r="K331" s="551" t="s">
        <v>100</v>
      </c>
      <c r="L331" s="551" t="s">
        <v>100</v>
      </c>
      <c r="M331" s="551" t="s">
        <v>100</v>
      </c>
    </row>
    <row r="332" spans="1:13" ht="15">
      <c r="A332" s="551" t="s">
        <v>844</v>
      </c>
      <c r="B332" s="551" t="s">
        <v>1594</v>
      </c>
      <c r="C332" s="552">
        <v>0</v>
      </c>
      <c r="D332" s="552">
        <v>0</v>
      </c>
      <c r="E332" s="551" t="s">
        <v>156</v>
      </c>
      <c r="F332" s="551" t="s">
        <v>100</v>
      </c>
      <c r="G332" s="551" t="s">
        <v>1548</v>
      </c>
      <c r="H332" s="551" t="s">
        <v>100</v>
      </c>
      <c r="I332" s="551" t="s">
        <v>2035</v>
      </c>
      <c r="J332" s="551" t="s">
        <v>100</v>
      </c>
      <c r="K332" s="551" t="s">
        <v>100</v>
      </c>
      <c r="L332" s="551" t="s">
        <v>100</v>
      </c>
      <c r="M332" s="551" t="s">
        <v>100</v>
      </c>
    </row>
    <row r="333" spans="1:13" ht="15">
      <c r="A333" s="551" t="s">
        <v>846</v>
      </c>
      <c r="B333" s="551" t="s">
        <v>847</v>
      </c>
      <c r="C333" s="552">
        <v>0</v>
      </c>
      <c r="D333" s="552">
        <v>950594.47</v>
      </c>
      <c r="E333" s="551" t="s">
        <v>156</v>
      </c>
      <c r="F333" s="551" t="s">
        <v>100</v>
      </c>
      <c r="G333" s="551" t="s">
        <v>1549</v>
      </c>
      <c r="H333" s="551" t="s">
        <v>100</v>
      </c>
      <c r="I333" s="551" t="s">
        <v>2035</v>
      </c>
      <c r="J333" s="551" t="s">
        <v>100</v>
      </c>
      <c r="K333" s="551" t="s">
        <v>100</v>
      </c>
      <c r="L333" s="551" t="s">
        <v>100</v>
      </c>
      <c r="M333" s="551" t="s">
        <v>100</v>
      </c>
    </row>
    <row r="334" spans="1:13" ht="15">
      <c r="A334" s="551" t="s">
        <v>848</v>
      </c>
      <c r="B334" s="551" t="s">
        <v>1533</v>
      </c>
      <c r="C334" s="552">
        <v>0</v>
      </c>
      <c r="D334" s="552">
        <v>0</v>
      </c>
      <c r="E334" s="551" t="s">
        <v>156</v>
      </c>
      <c r="F334" s="551" t="s">
        <v>100</v>
      </c>
      <c r="G334" s="551" t="s">
        <v>1549</v>
      </c>
      <c r="H334" s="551" t="s">
        <v>100</v>
      </c>
      <c r="I334" s="551" t="s">
        <v>2035</v>
      </c>
      <c r="J334" s="551" t="s">
        <v>100</v>
      </c>
      <c r="K334" s="551" t="s">
        <v>100</v>
      </c>
      <c r="L334" s="551" t="s">
        <v>100</v>
      </c>
      <c r="M334" s="551" t="s">
        <v>100</v>
      </c>
    </row>
    <row r="335" spans="1:13" ht="15">
      <c r="A335" s="551" t="s">
        <v>850</v>
      </c>
      <c r="B335" s="551" t="s">
        <v>851</v>
      </c>
      <c r="C335" s="552">
        <v>0</v>
      </c>
      <c r="D335" s="552">
        <v>950594.47</v>
      </c>
      <c r="E335" s="551" t="s">
        <v>156</v>
      </c>
      <c r="F335" s="551" t="s">
        <v>100</v>
      </c>
      <c r="G335" s="551" t="s">
        <v>1550</v>
      </c>
      <c r="H335" s="551" t="s">
        <v>852</v>
      </c>
      <c r="I335" s="551" t="s">
        <v>2035</v>
      </c>
      <c r="J335" s="551" t="s">
        <v>100</v>
      </c>
      <c r="K335" s="551" t="s">
        <v>100</v>
      </c>
      <c r="L335" s="551" t="s">
        <v>100</v>
      </c>
      <c r="M335" s="551" t="s">
        <v>100</v>
      </c>
    </row>
    <row r="336" spans="1:13" ht="15">
      <c r="A336" s="551" t="s">
        <v>853</v>
      </c>
      <c r="B336" s="551" t="s">
        <v>854</v>
      </c>
      <c r="C336" s="552">
        <v>0</v>
      </c>
      <c r="D336" s="552">
        <v>0</v>
      </c>
      <c r="E336" s="551" t="s">
        <v>156</v>
      </c>
      <c r="F336" s="551" t="s">
        <v>100</v>
      </c>
      <c r="G336" s="551" t="s">
        <v>1548</v>
      </c>
      <c r="H336" s="551" t="s">
        <v>100</v>
      </c>
      <c r="I336" s="551" t="s">
        <v>2035</v>
      </c>
      <c r="J336" s="551" t="s">
        <v>100</v>
      </c>
      <c r="K336" s="551" t="s">
        <v>100</v>
      </c>
      <c r="L336" s="551" t="s">
        <v>100</v>
      </c>
      <c r="M336" s="551" t="s">
        <v>100</v>
      </c>
    </row>
    <row r="337" spans="1:13" ht="15">
      <c r="A337" s="551" t="s">
        <v>855</v>
      </c>
      <c r="B337" s="551" t="s">
        <v>1595</v>
      </c>
      <c r="C337" s="552">
        <v>0</v>
      </c>
      <c r="D337" s="552">
        <v>5775.14</v>
      </c>
      <c r="E337" s="551" t="s">
        <v>156</v>
      </c>
      <c r="F337" s="551" t="s">
        <v>100</v>
      </c>
      <c r="G337" s="551" t="s">
        <v>1549</v>
      </c>
      <c r="H337" s="551" t="s">
        <v>100</v>
      </c>
      <c r="I337" s="551" t="s">
        <v>2035</v>
      </c>
      <c r="J337" s="551" t="s">
        <v>100</v>
      </c>
      <c r="K337" s="551" t="s">
        <v>100</v>
      </c>
      <c r="L337" s="551" t="s">
        <v>100</v>
      </c>
      <c r="M337" s="551" t="s">
        <v>100</v>
      </c>
    </row>
    <row r="338" spans="1:13" ht="15">
      <c r="A338" s="551" t="s">
        <v>857</v>
      </c>
      <c r="B338" s="551" t="s">
        <v>858</v>
      </c>
      <c r="C338" s="552">
        <v>0</v>
      </c>
      <c r="D338" s="552">
        <v>-884163.88</v>
      </c>
      <c r="E338" s="551" t="s">
        <v>156</v>
      </c>
      <c r="F338" s="551" t="s">
        <v>100</v>
      </c>
      <c r="G338" s="551" t="s">
        <v>1549</v>
      </c>
      <c r="H338" s="551" t="s">
        <v>100</v>
      </c>
      <c r="I338" s="551" t="s">
        <v>2035</v>
      </c>
      <c r="J338" s="551" t="s">
        <v>100</v>
      </c>
      <c r="K338" s="551" t="s">
        <v>100</v>
      </c>
      <c r="L338" s="551" t="s">
        <v>100</v>
      </c>
      <c r="M338" s="551" t="s">
        <v>100</v>
      </c>
    </row>
    <row r="339" spans="1:13" ht="15">
      <c r="A339" s="551" t="s">
        <v>859</v>
      </c>
      <c r="B339" s="551" t="s">
        <v>1596</v>
      </c>
      <c r="C339" s="552">
        <v>-22762.71</v>
      </c>
      <c r="D339" s="552">
        <v>-113813.71</v>
      </c>
      <c r="E339" s="551" t="s">
        <v>156</v>
      </c>
      <c r="F339" s="551" t="s">
        <v>100</v>
      </c>
      <c r="G339" s="551" t="s">
        <v>1549</v>
      </c>
      <c r="H339" s="551" t="s">
        <v>100</v>
      </c>
      <c r="I339" s="551" t="s">
        <v>2035</v>
      </c>
      <c r="J339" s="551" t="s">
        <v>100</v>
      </c>
      <c r="K339" s="551" t="s">
        <v>100</v>
      </c>
      <c r="L339" s="551" t="s">
        <v>100</v>
      </c>
      <c r="M339" s="551" t="s">
        <v>100</v>
      </c>
    </row>
    <row r="340" spans="1:13" ht="15">
      <c r="A340" s="551" t="s">
        <v>861</v>
      </c>
      <c r="B340" s="551" t="s">
        <v>862</v>
      </c>
      <c r="C340" s="552">
        <v>-22762.71</v>
      </c>
      <c r="D340" s="552">
        <v>-41607.980000000003</v>
      </c>
      <c r="E340" s="551" t="s">
        <v>156</v>
      </c>
      <c r="F340" s="551" t="s">
        <v>100</v>
      </c>
      <c r="G340" s="551" t="s">
        <v>1584</v>
      </c>
      <c r="H340" s="551" t="s">
        <v>863</v>
      </c>
      <c r="I340" s="551" t="s">
        <v>2035</v>
      </c>
      <c r="J340" s="551" t="s">
        <v>100</v>
      </c>
      <c r="K340" s="551" t="s">
        <v>100</v>
      </c>
      <c r="L340" s="551" t="s">
        <v>100</v>
      </c>
      <c r="M340" s="551" t="s">
        <v>100</v>
      </c>
    </row>
    <row r="341" spans="1:13" ht="15">
      <c r="A341" s="551" t="s">
        <v>864</v>
      </c>
      <c r="B341" s="551" t="s">
        <v>1152</v>
      </c>
      <c r="C341" s="552">
        <v>6114756.6299999999</v>
      </c>
      <c r="D341" s="552">
        <v>22564776.82</v>
      </c>
      <c r="E341" s="551" t="s">
        <v>156</v>
      </c>
      <c r="F341" s="551" t="s">
        <v>100</v>
      </c>
      <c r="G341" s="551" t="s">
        <v>1584</v>
      </c>
      <c r="H341" s="551" t="s">
        <v>866</v>
      </c>
      <c r="I341" s="551" t="s">
        <v>2035</v>
      </c>
      <c r="J341" s="551" t="s">
        <v>100</v>
      </c>
      <c r="K341" s="551" t="s">
        <v>100</v>
      </c>
      <c r="L341" s="551" t="s">
        <v>100</v>
      </c>
      <c r="M341" s="551" t="s">
        <v>100</v>
      </c>
    </row>
    <row r="342" spans="1:13" ht="15">
      <c r="A342" s="551" t="s">
        <v>867</v>
      </c>
      <c r="B342" s="551" t="s">
        <v>868</v>
      </c>
      <c r="C342" s="552">
        <v>4088650.47</v>
      </c>
      <c r="D342" s="552">
        <v>2889920.83</v>
      </c>
      <c r="E342" s="551" t="s">
        <v>156</v>
      </c>
      <c r="F342" s="551" t="s">
        <v>100</v>
      </c>
      <c r="G342" s="551" t="s">
        <v>1584</v>
      </c>
      <c r="H342" s="551" t="s">
        <v>869</v>
      </c>
      <c r="I342" s="551" t="s">
        <v>2035</v>
      </c>
      <c r="J342" s="551" t="s">
        <v>100</v>
      </c>
      <c r="K342" s="551" t="s">
        <v>100</v>
      </c>
      <c r="L342" s="551" t="s">
        <v>100</v>
      </c>
      <c r="M342" s="551" t="s">
        <v>100</v>
      </c>
    </row>
    <row r="343" spans="1:13" ht="15">
      <c r="A343" s="551" t="s">
        <v>870</v>
      </c>
      <c r="B343" s="551" t="s">
        <v>871</v>
      </c>
      <c r="C343" s="552">
        <v>0</v>
      </c>
      <c r="D343" s="552">
        <v>0</v>
      </c>
      <c r="E343" s="551" t="s">
        <v>872</v>
      </c>
      <c r="F343" s="551" t="s">
        <v>100</v>
      </c>
      <c r="G343" s="551" t="s">
        <v>1548</v>
      </c>
      <c r="H343" s="551" t="s">
        <v>100</v>
      </c>
      <c r="I343" s="551" t="s">
        <v>2035</v>
      </c>
      <c r="J343" s="551" t="s">
        <v>100</v>
      </c>
      <c r="K343" s="551" t="s">
        <v>100</v>
      </c>
      <c r="L343" s="551" t="s">
        <v>100</v>
      </c>
      <c r="M343" s="551" t="s">
        <v>100</v>
      </c>
    </row>
    <row r="344" spans="1:13" ht="15">
      <c r="A344" s="551" t="s">
        <v>873</v>
      </c>
      <c r="B344" s="551" t="s">
        <v>874</v>
      </c>
      <c r="C344" s="552">
        <v>0</v>
      </c>
      <c r="D344" s="552">
        <v>0</v>
      </c>
      <c r="E344" s="551" t="s">
        <v>872</v>
      </c>
      <c r="F344" s="551" t="s">
        <v>100</v>
      </c>
      <c r="G344" s="551" t="s">
        <v>1548</v>
      </c>
      <c r="H344" s="551" t="s">
        <v>100</v>
      </c>
      <c r="I344" s="551" t="s">
        <v>2035</v>
      </c>
      <c r="J344" s="551" t="s">
        <v>100</v>
      </c>
      <c r="K344" s="551" t="s">
        <v>100</v>
      </c>
      <c r="L344" s="551" t="s">
        <v>100</v>
      </c>
      <c r="M344" s="551" t="s">
        <v>100</v>
      </c>
    </row>
    <row r="345" spans="1:13" ht="15">
      <c r="A345" s="551" t="s">
        <v>875</v>
      </c>
      <c r="B345" s="551" t="s">
        <v>876</v>
      </c>
      <c r="C345" s="552">
        <v>0</v>
      </c>
      <c r="D345" s="552">
        <v>0</v>
      </c>
      <c r="E345" s="551" t="s">
        <v>872</v>
      </c>
      <c r="F345" s="551" t="s">
        <v>100</v>
      </c>
      <c r="G345" s="551" t="s">
        <v>1548</v>
      </c>
      <c r="H345" s="551" t="s">
        <v>100</v>
      </c>
      <c r="I345" s="551" t="s">
        <v>2035</v>
      </c>
      <c r="J345" s="551" t="s">
        <v>100</v>
      </c>
      <c r="K345" s="551" t="s">
        <v>100</v>
      </c>
      <c r="L345" s="551" t="s">
        <v>100</v>
      </c>
      <c r="M345" s="551" t="s">
        <v>100</v>
      </c>
    </row>
    <row r="346" spans="1:13" ht="15">
      <c r="A346" s="551" t="s">
        <v>877</v>
      </c>
      <c r="B346" s="551" t="s">
        <v>878</v>
      </c>
      <c r="C346" s="552">
        <v>0</v>
      </c>
      <c r="D346" s="552">
        <v>28500000</v>
      </c>
      <c r="E346" s="551" t="s">
        <v>872</v>
      </c>
      <c r="F346" s="551" t="s">
        <v>100</v>
      </c>
      <c r="G346" s="551" t="s">
        <v>1549</v>
      </c>
      <c r="H346" s="551" t="s">
        <v>100</v>
      </c>
      <c r="I346" s="551" t="s">
        <v>2035</v>
      </c>
      <c r="J346" s="551" t="s">
        <v>100</v>
      </c>
      <c r="K346" s="551" t="s">
        <v>100</v>
      </c>
      <c r="L346" s="551" t="s">
        <v>100</v>
      </c>
      <c r="M346" s="551" t="s">
        <v>100</v>
      </c>
    </row>
    <row r="347" spans="1:13" ht="15">
      <c r="A347" s="551" t="s">
        <v>879</v>
      </c>
      <c r="B347" s="551" t="s">
        <v>880</v>
      </c>
      <c r="C347" s="552">
        <v>0</v>
      </c>
      <c r="D347" s="552">
        <v>22281800</v>
      </c>
      <c r="E347" s="551" t="s">
        <v>872</v>
      </c>
      <c r="F347" s="551" t="s">
        <v>100</v>
      </c>
      <c r="G347" s="551" t="s">
        <v>1549</v>
      </c>
      <c r="H347" s="551" t="s">
        <v>100</v>
      </c>
      <c r="I347" s="551" t="s">
        <v>2035</v>
      </c>
      <c r="J347" s="551" t="s">
        <v>100</v>
      </c>
      <c r="K347" s="551" t="s">
        <v>100</v>
      </c>
      <c r="L347" s="551" t="s">
        <v>100</v>
      </c>
      <c r="M347" s="551" t="s">
        <v>100</v>
      </c>
    </row>
    <row r="348" spans="1:13" ht="15">
      <c r="A348" s="551" t="s">
        <v>881</v>
      </c>
      <c r="B348" s="551" t="s">
        <v>882</v>
      </c>
      <c r="C348" s="552">
        <v>0</v>
      </c>
      <c r="D348" s="552">
        <v>3537200</v>
      </c>
      <c r="E348" s="551" t="s">
        <v>872</v>
      </c>
      <c r="F348" s="551" t="s">
        <v>100</v>
      </c>
      <c r="G348" s="551" t="s">
        <v>1549</v>
      </c>
      <c r="H348" s="551" t="s">
        <v>100</v>
      </c>
      <c r="I348" s="551" t="s">
        <v>2035</v>
      </c>
      <c r="J348" s="551" t="s">
        <v>100</v>
      </c>
      <c r="K348" s="551" t="s">
        <v>100</v>
      </c>
      <c r="L348" s="551" t="s">
        <v>100</v>
      </c>
      <c r="M348" s="551" t="s">
        <v>100</v>
      </c>
    </row>
    <row r="349" spans="1:13" ht="15">
      <c r="A349" s="551" t="s">
        <v>883</v>
      </c>
      <c r="B349" s="551" t="s">
        <v>884</v>
      </c>
      <c r="C349" s="552">
        <v>0</v>
      </c>
      <c r="D349" s="552">
        <v>101601</v>
      </c>
      <c r="E349" s="551" t="s">
        <v>872</v>
      </c>
      <c r="F349" s="551" t="s">
        <v>100</v>
      </c>
      <c r="G349" s="551" t="s">
        <v>1549</v>
      </c>
      <c r="H349" s="551" t="s">
        <v>100</v>
      </c>
      <c r="I349" s="551" t="s">
        <v>2035</v>
      </c>
      <c r="J349" s="551" t="s">
        <v>100</v>
      </c>
      <c r="K349" s="551" t="s">
        <v>100</v>
      </c>
      <c r="L349" s="551" t="s">
        <v>100</v>
      </c>
      <c r="M349" s="551" t="s">
        <v>100</v>
      </c>
    </row>
    <row r="350" spans="1:13" ht="15">
      <c r="A350" s="551" t="s">
        <v>885</v>
      </c>
      <c r="B350" s="551" t="s">
        <v>886</v>
      </c>
      <c r="C350" s="552">
        <v>0</v>
      </c>
      <c r="D350" s="552">
        <v>140400</v>
      </c>
      <c r="E350" s="551" t="s">
        <v>872</v>
      </c>
      <c r="F350" s="551" t="s">
        <v>100</v>
      </c>
      <c r="G350" s="551" t="s">
        <v>1549</v>
      </c>
      <c r="H350" s="551" t="s">
        <v>100</v>
      </c>
      <c r="I350" s="551" t="s">
        <v>2035</v>
      </c>
      <c r="J350" s="551" t="s">
        <v>100</v>
      </c>
      <c r="K350" s="551" t="s">
        <v>100</v>
      </c>
      <c r="L350" s="551" t="s">
        <v>100</v>
      </c>
      <c r="M350" s="551" t="s">
        <v>100</v>
      </c>
    </row>
    <row r="351" spans="1:13" ht="15">
      <c r="A351" s="551" t="s">
        <v>887</v>
      </c>
      <c r="B351" s="551" t="s">
        <v>888</v>
      </c>
      <c r="C351" s="552">
        <v>0</v>
      </c>
      <c r="D351" s="552">
        <v>134200</v>
      </c>
      <c r="E351" s="551" t="s">
        <v>872</v>
      </c>
      <c r="F351" s="551" t="s">
        <v>100</v>
      </c>
      <c r="G351" s="551" t="s">
        <v>1549</v>
      </c>
      <c r="H351" s="551" t="s">
        <v>100</v>
      </c>
      <c r="I351" s="551" t="s">
        <v>2035</v>
      </c>
      <c r="J351" s="551" t="s">
        <v>100</v>
      </c>
      <c r="K351" s="551" t="s">
        <v>100</v>
      </c>
      <c r="L351" s="551" t="s">
        <v>100</v>
      </c>
      <c r="M351" s="551" t="s">
        <v>100</v>
      </c>
    </row>
    <row r="352" spans="1:13" ht="15">
      <c r="A352" s="551" t="s">
        <v>1597</v>
      </c>
      <c r="B352" s="551" t="s">
        <v>1582</v>
      </c>
      <c r="C352" s="552">
        <v>-22762.71</v>
      </c>
      <c r="D352" s="552">
        <v>-204864.56</v>
      </c>
      <c r="E352" s="551" t="s">
        <v>872</v>
      </c>
      <c r="F352" s="551" t="s">
        <v>100</v>
      </c>
      <c r="G352" s="551" t="s">
        <v>1549</v>
      </c>
      <c r="H352" s="551" t="s">
        <v>100</v>
      </c>
      <c r="I352" s="551" t="s">
        <v>2038</v>
      </c>
      <c r="J352" s="551" t="s">
        <v>2037</v>
      </c>
      <c r="K352" s="551" t="s">
        <v>1597</v>
      </c>
      <c r="L352" s="551" t="s">
        <v>100</v>
      </c>
      <c r="M352" s="551" t="s">
        <v>100</v>
      </c>
    </row>
    <row r="353" spans="1:13" ht="15">
      <c r="A353" s="551" t="s">
        <v>1598</v>
      </c>
      <c r="B353" s="551" t="s">
        <v>1599</v>
      </c>
      <c r="C353" s="552">
        <v>973243.88</v>
      </c>
      <c r="D353" s="552">
        <v>2227131.13</v>
      </c>
      <c r="E353" s="551" t="s">
        <v>872</v>
      </c>
      <c r="F353" s="551" t="s">
        <v>100</v>
      </c>
      <c r="G353" s="551" t="s">
        <v>1549</v>
      </c>
      <c r="H353" s="551" t="s">
        <v>100</v>
      </c>
      <c r="I353" s="551" t="s">
        <v>2038</v>
      </c>
      <c r="J353" s="551" t="s">
        <v>2037</v>
      </c>
      <c r="K353" s="551" t="s">
        <v>1598</v>
      </c>
      <c r="L353" s="551" t="s">
        <v>100</v>
      </c>
      <c r="M353" s="551" t="s">
        <v>100</v>
      </c>
    </row>
    <row r="354" spans="1:13" ht="15">
      <c r="A354" s="551" t="s">
        <v>889</v>
      </c>
      <c r="B354" s="551" t="s">
        <v>890</v>
      </c>
      <c r="C354" s="552">
        <v>950481.17</v>
      </c>
      <c r="D354" s="552">
        <v>56717467.57</v>
      </c>
      <c r="E354" s="551" t="s">
        <v>872</v>
      </c>
      <c r="F354" s="551" t="s">
        <v>100</v>
      </c>
      <c r="G354" s="551" t="s">
        <v>1550</v>
      </c>
      <c r="H354" s="551" t="s">
        <v>891</v>
      </c>
      <c r="I354" s="551" t="s">
        <v>2035</v>
      </c>
      <c r="J354" s="551" t="s">
        <v>100</v>
      </c>
      <c r="K354" s="551" t="s">
        <v>100</v>
      </c>
      <c r="L354" s="551" t="s">
        <v>100</v>
      </c>
      <c r="M354" s="551" t="s">
        <v>100</v>
      </c>
    </row>
    <row r="355" spans="1:13" ht="15">
      <c r="A355" s="551" t="s">
        <v>892</v>
      </c>
      <c r="B355" s="551" t="s">
        <v>893</v>
      </c>
      <c r="C355" s="552">
        <v>0</v>
      </c>
      <c r="D355" s="552">
        <v>0</v>
      </c>
      <c r="E355" s="551" t="s">
        <v>872</v>
      </c>
      <c r="F355" s="551" t="s">
        <v>100</v>
      </c>
      <c r="G355" s="551" t="s">
        <v>1548</v>
      </c>
      <c r="H355" s="551" t="s">
        <v>100</v>
      </c>
      <c r="I355" s="551" t="s">
        <v>2035</v>
      </c>
      <c r="J355" s="551" t="s">
        <v>100</v>
      </c>
      <c r="K355" s="551" t="s">
        <v>100</v>
      </c>
      <c r="L355" s="551" t="s">
        <v>100</v>
      </c>
      <c r="M355" s="551" t="s">
        <v>100</v>
      </c>
    </row>
    <row r="356" spans="1:13" ht="15">
      <c r="A356" s="551" t="s">
        <v>894</v>
      </c>
      <c r="B356" s="551" t="s">
        <v>895</v>
      </c>
      <c r="C356" s="552">
        <v>-14000</v>
      </c>
      <c r="D356" s="552">
        <v>98000</v>
      </c>
      <c r="E356" s="551" t="s">
        <v>872</v>
      </c>
      <c r="F356" s="551" t="s">
        <v>100</v>
      </c>
      <c r="G356" s="551" t="s">
        <v>1549</v>
      </c>
      <c r="H356" s="551" t="s">
        <v>100</v>
      </c>
      <c r="I356" s="551" t="s">
        <v>2038</v>
      </c>
      <c r="J356" s="551" t="s">
        <v>100</v>
      </c>
      <c r="K356" s="551" t="s">
        <v>100</v>
      </c>
      <c r="L356" s="551" t="s">
        <v>100</v>
      </c>
      <c r="M356" s="551" t="s">
        <v>100</v>
      </c>
    </row>
    <row r="357" spans="1:13" ht="15">
      <c r="A357" s="551" t="s">
        <v>896</v>
      </c>
      <c r="B357" s="551" t="s">
        <v>897</v>
      </c>
      <c r="C357" s="552">
        <v>-14000</v>
      </c>
      <c r="D357" s="552">
        <v>98000</v>
      </c>
      <c r="E357" s="551" t="s">
        <v>872</v>
      </c>
      <c r="F357" s="551" t="s">
        <v>100</v>
      </c>
      <c r="G357" s="551" t="s">
        <v>1550</v>
      </c>
      <c r="H357" s="551" t="s">
        <v>898</v>
      </c>
      <c r="I357" s="551" t="s">
        <v>2035</v>
      </c>
      <c r="J357" s="551" t="s">
        <v>100</v>
      </c>
      <c r="K357" s="551" t="s">
        <v>100</v>
      </c>
      <c r="L357" s="551" t="s">
        <v>100</v>
      </c>
      <c r="M357" s="551" t="s">
        <v>100</v>
      </c>
    </row>
    <row r="358" spans="1:13" ht="15">
      <c r="A358" s="551" t="s">
        <v>1600</v>
      </c>
      <c r="B358" s="551" t="s">
        <v>1601</v>
      </c>
      <c r="C358" s="552">
        <v>0</v>
      </c>
      <c r="D358" s="552">
        <v>0</v>
      </c>
      <c r="E358" s="551" t="s">
        <v>872</v>
      </c>
      <c r="F358" s="551" t="s">
        <v>100</v>
      </c>
      <c r="G358" s="551" t="s">
        <v>1548</v>
      </c>
      <c r="H358" s="551" t="s">
        <v>100</v>
      </c>
      <c r="I358" s="551" t="s">
        <v>2035</v>
      </c>
      <c r="J358" s="551" t="s">
        <v>100</v>
      </c>
      <c r="K358" s="551" t="s">
        <v>100</v>
      </c>
      <c r="L358" s="551" t="s">
        <v>100</v>
      </c>
      <c r="M358" s="551" t="s">
        <v>100</v>
      </c>
    </row>
    <row r="359" spans="1:13" ht="15">
      <c r="A359" s="551" t="s">
        <v>1602</v>
      </c>
      <c r="B359" s="551" t="s">
        <v>1603</v>
      </c>
      <c r="C359" s="552">
        <v>68819.75</v>
      </c>
      <c r="D359" s="552">
        <v>401013.65</v>
      </c>
      <c r="E359" s="551" t="s">
        <v>872</v>
      </c>
      <c r="F359" s="551" t="s">
        <v>100</v>
      </c>
      <c r="G359" s="551" t="s">
        <v>1549</v>
      </c>
      <c r="H359" s="551" t="s">
        <v>100</v>
      </c>
      <c r="I359" s="551" t="s">
        <v>2038</v>
      </c>
      <c r="J359" s="551" t="s">
        <v>2037</v>
      </c>
      <c r="K359" s="551" t="s">
        <v>1602</v>
      </c>
      <c r="L359" s="551" t="s">
        <v>100</v>
      </c>
      <c r="M359" s="551" t="s">
        <v>100</v>
      </c>
    </row>
    <row r="360" spans="1:13" ht="15">
      <c r="A360" s="551" t="s">
        <v>1604</v>
      </c>
      <c r="B360" s="551" t="s">
        <v>1605</v>
      </c>
      <c r="C360" s="552">
        <v>68819.75</v>
      </c>
      <c r="D360" s="552">
        <v>401013.65</v>
      </c>
      <c r="E360" s="551" t="s">
        <v>872</v>
      </c>
      <c r="F360" s="551" t="s">
        <v>100</v>
      </c>
      <c r="G360" s="551" t="s">
        <v>1550</v>
      </c>
      <c r="H360" s="551" t="s">
        <v>1606</v>
      </c>
      <c r="I360" s="551" t="s">
        <v>2035</v>
      </c>
      <c r="J360" s="551" t="s">
        <v>100</v>
      </c>
      <c r="K360" s="551" t="s">
        <v>100</v>
      </c>
      <c r="L360" s="551" t="s">
        <v>100</v>
      </c>
      <c r="M360" s="551" t="s">
        <v>100</v>
      </c>
    </row>
    <row r="361" spans="1:13" ht="15">
      <c r="A361" s="551" t="s">
        <v>899</v>
      </c>
      <c r="B361" s="551" t="s">
        <v>900</v>
      </c>
      <c r="C361" s="552">
        <v>0</v>
      </c>
      <c r="D361" s="552">
        <v>0</v>
      </c>
      <c r="E361" s="551" t="s">
        <v>872</v>
      </c>
      <c r="F361" s="551" t="s">
        <v>100</v>
      </c>
      <c r="G361" s="551" t="s">
        <v>1548</v>
      </c>
      <c r="H361" s="551" t="s">
        <v>100</v>
      </c>
      <c r="I361" s="551" t="s">
        <v>2035</v>
      </c>
      <c r="J361" s="551" t="s">
        <v>100</v>
      </c>
      <c r="K361" s="551" t="s">
        <v>100</v>
      </c>
      <c r="L361" s="551" t="s">
        <v>100</v>
      </c>
      <c r="M361" s="551" t="s">
        <v>100</v>
      </c>
    </row>
    <row r="362" spans="1:13" ht="15">
      <c r="A362" s="551" t="s">
        <v>901</v>
      </c>
      <c r="B362" s="551" t="s">
        <v>902</v>
      </c>
      <c r="C362" s="552">
        <v>0</v>
      </c>
      <c r="D362" s="552">
        <v>3366400</v>
      </c>
      <c r="E362" s="551" t="s">
        <v>872</v>
      </c>
      <c r="F362" s="551" t="s">
        <v>100</v>
      </c>
      <c r="G362" s="551" t="s">
        <v>1549</v>
      </c>
      <c r="H362" s="551" t="s">
        <v>100</v>
      </c>
      <c r="I362" s="551" t="s">
        <v>2035</v>
      </c>
      <c r="J362" s="551" t="s">
        <v>100</v>
      </c>
      <c r="K362" s="551" t="s">
        <v>100</v>
      </c>
      <c r="L362" s="551" t="s">
        <v>100</v>
      </c>
      <c r="M362" s="551" t="s">
        <v>100</v>
      </c>
    </row>
    <row r="363" spans="1:13" ht="15">
      <c r="A363" s="551" t="s">
        <v>903</v>
      </c>
      <c r="B363" s="551" t="s">
        <v>904</v>
      </c>
      <c r="C363" s="552">
        <v>-7187.5</v>
      </c>
      <c r="D363" s="552">
        <v>74687.5</v>
      </c>
      <c r="E363" s="551" t="s">
        <v>872</v>
      </c>
      <c r="F363" s="551" t="s">
        <v>100</v>
      </c>
      <c r="G363" s="551" t="s">
        <v>1549</v>
      </c>
      <c r="H363" s="551" t="s">
        <v>100</v>
      </c>
      <c r="I363" s="551" t="s">
        <v>2036</v>
      </c>
      <c r="J363" s="551" t="s">
        <v>2037</v>
      </c>
      <c r="K363" s="551" t="s">
        <v>1426</v>
      </c>
      <c r="L363" s="551" t="s">
        <v>100</v>
      </c>
      <c r="M363" s="551" t="s">
        <v>100</v>
      </c>
    </row>
    <row r="364" spans="1:13" ht="15">
      <c r="A364" s="551" t="s">
        <v>905</v>
      </c>
      <c r="B364" s="551" t="s">
        <v>906</v>
      </c>
      <c r="C364" s="552">
        <v>0</v>
      </c>
      <c r="D364" s="552">
        <v>8250</v>
      </c>
      <c r="E364" s="551" t="s">
        <v>872</v>
      </c>
      <c r="F364" s="551" t="s">
        <v>100</v>
      </c>
      <c r="G364" s="551" t="s">
        <v>1549</v>
      </c>
      <c r="H364" s="551" t="s">
        <v>100</v>
      </c>
      <c r="I364" s="551" t="s">
        <v>2035</v>
      </c>
      <c r="J364" s="551" t="s">
        <v>100</v>
      </c>
      <c r="K364" s="551" t="s">
        <v>100</v>
      </c>
      <c r="L364" s="551" t="s">
        <v>100</v>
      </c>
      <c r="M364" s="551" t="s">
        <v>100</v>
      </c>
    </row>
    <row r="365" spans="1:13" ht="15">
      <c r="A365" s="551" t="s">
        <v>907</v>
      </c>
      <c r="B365" s="551" t="s">
        <v>908</v>
      </c>
      <c r="C365" s="552">
        <v>0</v>
      </c>
      <c r="D365" s="552">
        <v>1339102.5</v>
      </c>
      <c r="E365" s="551" t="s">
        <v>872</v>
      </c>
      <c r="F365" s="551" t="s">
        <v>100</v>
      </c>
      <c r="G365" s="551" t="s">
        <v>1549</v>
      </c>
      <c r="H365" s="551" t="s">
        <v>100</v>
      </c>
      <c r="I365" s="551" t="s">
        <v>2035</v>
      </c>
      <c r="J365" s="551" t="s">
        <v>100</v>
      </c>
      <c r="K365" s="551" t="s">
        <v>100</v>
      </c>
      <c r="L365" s="551" t="s">
        <v>100</v>
      </c>
      <c r="M365" s="551" t="s">
        <v>100</v>
      </c>
    </row>
    <row r="366" spans="1:13" ht="15">
      <c r="A366" s="551" t="s">
        <v>909</v>
      </c>
      <c r="B366" s="551" t="s">
        <v>910</v>
      </c>
      <c r="C366" s="552">
        <v>0</v>
      </c>
      <c r="D366" s="552">
        <v>-31248</v>
      </c>
      <c r="E366" s="551" t="s">
        <v>872</v>
      </c>
      <c r="F366" s="551" t="s">
        <v>100</v>
      </c>
      <c r="G366" s="551" t="s">
        <v>1549</v>
      </c>
      <c r="H366" s="551" t="s">
        <v>100</v>
      </c>
      <c r="I366" s="551" t="s">
        <v>2035</v>
      </c>
      <c r="J366" s="551" t="s">
        <v>100</v>
      </c>
      <c r="K366" s="551" t="s">
        <v>100</v>
      </c>
      <c r="L366" s="551" t="s">
        <v>100</v>
      </c>
      <c r="M366" s="551" t="s">
        <v>100</v>
      </c>
    </row>
    <row r="367" spans="1:13" ht="15">
      <c r="A367" s="551" t="s">
        <v>911</v>
      </c>
      <c r="B367" s="551" t="s">
        <v>912</v>
      </c>
      <c r="C367" s="552">
        <v>0</v>
      </c>
      <c r="D367" s="552">
        <v>1500000</v>
      </c>
      <c r="E367" s="551" t="s">
        <v>872</v>
      </c>
      <c r="F367" s="551" t="s">
        <v>100</v>
      </c>
      <c r="G367" s="551" t="s">
        <v>1549</v>
      </c>
      <c r="H367" s="551" t="s">
        <v>100</v>
      </c>
      <c r="I367" s="551" t="s">
        <v>2035</v>
      </c>
      <c r="J367" s="551" t="s">
        <v>100</v>
      </c>
      <c r="K367" s="551" t="s">
        <v>100</v>
      </c>
      <c r="L367" s="551" t="s">
        <v>100</v>
      </c>
      <c r="M367" s="551" t="s">
        <v>100</v>
      </c>
    </row>
    <row r="368" spans="1:13" ht="15">
      <c r="A368" s="551" t="s">
        <v>913</v>
      </c>
      <c r="B368" s="551" t="s">
        <v>914</v>
      </c>
      <c r="C368" s="552">
        <v>-7187.5</v>
      </c>
      <c r="D368" s="552">
        <v>6257192</v>
      </c>
      <c r="E368" s="551" t="s">
        <v>872</v>
      </c>
      <c r="F368" s="551" t="s">
        <v>100</v>
      </c>
      <c r="G368" s="551" t="s">
        <v>1550</v>
      </c>
      <c r="H368" s="551" t="s">
        <v>915</v>
      </c>
      <c r="I368" s="551" t="s">
        <v>2035</v>
      </c>
      <c r="J368" s="551" t="s">
        <v>100</v>
      </c>
      <c r="K368" s="551" t="s">
        <v>100</v>
      </c>
      <c r="L368" s="551" t="s">
        <v>100</v>
      </c>
      <c r="M368" s="551" t="s">
        <v>100</v>
      </c>
    </row>
    <row r="369" spans="1:13" ht="15">
      <c r="A369" s="551" t="s">
        <v>916</v>
      </c>
      <c r="B369" s="551" t="s">
        <v>917</v>
      </c>
      <c r="C369" s="552">
        <v>998113.42</v>
      </c>
      <c r="D369" s="552">
        <v>63473673.219999999</v>
      </c>
      <c r="E369" s="551" t="s">
        <v>872</v>
      </c>
      <c r="F369" s="551" t="s">
        <v>100</v>
      </c>
      <c r="G369" s="551" t="s">
        <v>1550</v>
      </c>
      <c r="H369" s="551" t="s">
        <v>918</v>
      </c>
      <c r="I369" s="551" t="s">
        <v>2035</v>
      </c>
      <c r="J369" s="551" t="s">
        <v>100</v>
      </c>
      <c r="K369" s="551" t="s">
        <v>100</v>
      </c>
      <c r="L369" s="551" t="s">
        <v>100</v>
      </c>
      <c r="M369" s="551" t="s">
        <v>100</v>
      </c>
    </row>
    <row r="370" spans="1:13" ht="15">
      <c r="A370" s="551" t="s">
        <v>919</v>
      </c>
      <c r="B370" s="551" t="s">
        <v>920</v>
      </c>
      <c r="C370" s="552">
        <v>0</v>
      </c>
      <c r="D370" s="552">
        <v>0</v>
      </c>
      <c r="E370" s="551" t="s">
        <v>872</v>
      </c>
      <c r="F370" s="551" t="s">
        <v>100</v>
      </c>
      <c r="G370" s="551" t="s">
        <v>1548</v>
      </c>
      <c r="H370" s="551" t="s">
        <v>100</v>
      </c>
      <c r="I370" s="551" t="s">
        <v>2035</v>
      </c>
      <c r="J370" s="551" t="s">
        <v>100</v>
      </c>
      <c r="K370" s="551" t="s">
        <v>100</v>
      </c>
      <c r="L370" s="551" t="s">
        <v>100</v>
      </c>
      <c r="M370" s="551" t="s">
        <v>100</v>
      </c>
    </row>
    <row r="371" spans="1:13" ht="15">
      <c r="A371" s="551" t="s">
        <v>921</v>
      </c>
      <c r="B371" s="551" t="s">
        <v>922</v>
      </c>
      <c r="C371" s="552">
        <v>0</v>
      </c>
      <c r="D371" s="552">
        <v>0</v>
      </c>
      <c r="E371" s="551" t="s">
        <v>872</v>
      </c>
      <c r="F371" s="551" t="s">
        <v>100</v>
      </c>
      <c r="G371" s="551" t="s">
        <v>1548</v>
      </c>
      <c r="H371" s="551" t="s">
        <v>100</v>
      </c>
      <c r="I371" s="551" t="s">
        <v>2035</v>
      </c>
      <c r="J371" s="551" t="s">
        <v>100</v>
      </c>
      <c r="K371" s="551" t="s">
        <v>100</v>
      </c>
      <c r="L371" s="551" t="s">
        <v>100</v>
      </c>
      <c r="M371" s="551" t="s">
        <v>100</v>
      </c>
    </row>
    <row r="372" spans="1:13" ht="15">
      <c r="A372" s="551" t="s">
        <v>923</v>
      </c>
      <c r="B372" s="551" t="s">
        <v>924</v>
      </c>
      <c r="C372" s="552">
        <v>-479384.92</v>
      </c>
      <c r="D372" s="552">
        <v>36999.089999999997</v>
      </c>
      <c r="E372" s="551" t="s">
        <v>872</v>
      </c>
      <c r="F372" s="551" t="s">
        <v>100</v>
      </c>
      <c r="G372" s="551" t="s">
        <v>1549</v>
      </c>
      <c r="H372" s="551" t="s">
        <v>100</v>
      </c>
      <c r="I372" s="551" t="s">
        <v>2038</v>
      </c>
      <c r="J372" s="551" t="s">
        <v>2037</v>
      </c>
      <c r="K372" s="551" t="s">
        <v>923</v>
      </c>
      <c r="L372" s="551" t="s">
        <v>100</v>
      </c>
      <c r="M372" s="551" t="s">
        <v>100</v>
      </c>
    </row>
    <row r="373" spans="1:13" ht="15">
      <c r="A373" s="551" t="s">
        <v>925</v>
      </c>
      <c r="B373" s="551" t="s">
        <v>926</v>
      </c>
      <c r="C373" s="552">
        <v>0</v>
      </c>
      <c r="D373" s="552">
        <v>0</v>
      </c>
      <c r="E373" s="551" t="s">
        <v>872</v>
      </c>
      <c r="F373" s="551" t="s">
        <v>100</v>
      </c>
      <c r="G373" s="551" t="s">
        <v>1549</v>
      </c>
      <c r="H373" s="551" t="s">
        <v>100</v>
      </c>
      <c r="I373" s="551" t="s">
        <v>2035</v>
      </c>
      <c r="J373" s="551" t="s">
        <v>100</v>
      </c>
      <c r="K373" s="551" t="s">
        <v>100</v>
      </c>
      <c r="L373" s="551" t="s">
        <v>100</v>
      </c>
      <c r="M373" s="551" t="s">
        <v>100</v>
      </c>
    </row>
    <row r="374" spans="1:13" ht="15">
      <c r="A374" s="551" t="s">
        <v>927</v>
      </c>
      <c r="B374" s="551" t="s">
        <v>1607</v>
      </c>
      <c r="C374" s="552">
        <v>0</v>
      </c>
      <c r="D374" s="552">
        <v>0</v>
      </c>
      <c r="E374" s="551" t="s">
        <v>872</v>
      </c>
      <c r="F374" s="551" t="s">
        <v>100</v>
      </c>
      <c r="G374" s="551" t="s">
        <v>1549</v>
      </c>
      <c r="H374" s="551" t="s">
        <v>100</v>
      </c>
      <c r="I374" s="551" t="s">
        <v>2035</v>
      </c>
      <c r="J374" s="551" t="s">
        <v>100</v>
      </c>
      <c r="K374" s="551" t="s">
        <v>100</v>
      </c>
      <c r="L374" s="551" t="s">
        <v>100</v>
      </c>
      <c r="M374" s="551" t="s">
        <v>100</v>
      </c>
    </row>
    <row r="375" spans="1:13" ht="15">
      <c r="A375" s="551" t="s">
        <v>929</v>
      </c>
      <c r="B375" s="551" t="s">
        <v>930</v>
      </c>
      <c r="C375" s="552">
        <v>0</v>
      </c>
      <c r="D375" s="552">
        <v>0</v>
      </c>
      <c r="E375" s="551" t="s">
        <v>872</v>
      </c>
      <c r="F375" s="551" t="s">
        <v>100</v>
      </c>
      <c r="G375" s="551" t="s">
        <v>1549</v>
      </c>
      <c r="H375" s="551" t="s">
        <v>100</v>
      </c>
      <c r="I375" s="551" t="s">
        <v>2035</v>
      </c>
      <c r="J375" s="551" t="s">
        <v>100</v>
      </c>
      <c r="K375" s="551" t="s">
        <v>100</v>
      </c>
      <c r="L375" s="551" t="s">
        <v>100</v>
      </c>
      <c r="M375" s="551" t="s">
        <v>100</v>
      </c>
    </row>
    <row r="376" spans="1:13" ht="15">
      <c r="A376" s="551" t="s">
        <v>931</v>
      </c>
      <c r="B376" s="551" t="s">
        <v>932</v>
      </c>
      <c r="C376" s="552">
        <v>-285943.81</v>
      </c>
      <c r="D376" s="552">
        <v>17528.419999999998</v>
      </c>
      <c r="E376" s="551" t="s">
        <v>872</v>
      </c>
      <c r="F376" s="551" t="s">
        <v>100</v>
      </c>
      <c r="G376" s="551" t="s">
        <v>1549</v>
      </c>
      <c r="H376" s="551" t="s">
        <v>100</v>
      </c>
      <c r="I376" s="551" t="s">
        <v>2038</v>
      </c>
      <c r="J376" s="551" t="s">
        <v>2037</v>
      </c>
      <c r="K376" s="551" t="s">
        <v>931</v>
      </c>
      <c r="L376" s="551" t="s">
        <v>100</v>
      </c>
      <c r="M376" s="551" t="s">
        <v>100</v>
      </c>
    </row>
    <row r="377" spans="1:13" ht="15">
      <c r="A377" s="551" t="s">
        <v>933</v>
      </c>
      <c r="B377" s="551" t="s">
        <v>934</v>
      </c>
      <c r="C377" s="552">
        <v>0</v>
      </c>
      <c r="D377" s="552">
        <v>0</v>
      </c>
      <c r="E377" s="551" t="s">
        <v>872</v>
      </c>
      <c r="F377" s="551" t="s">
        <v>100</v>
      </c>
      <c r="G377" s="551" t="s">
        <v>1549</v>
      </c>
      <c r="H377" s="551" t="s">
        <v>100</v>
      </c>
      <c r="I377" s="551" t="s">
        <v>2035</v>
      </c>
      <c r="J377" s="551" t="s">
        <v>100</v>
      </c>
      <c r="K377" s="551" t="s">
        <v>100</v>
      </c>
      <c r="L377" s="551" t="s">
        <v>100</v>
      </c>
      <c r="M377" s="551" t="s">
        <v>100</v>
      </c>
    </row>
    <row r="378" spans="1:13" ht="15">
      <c r="A378" s="551" t="s">
        <v>935</v>
      </c>
      <c r="B378" s="551" t="s">
        <v>936</v>
      </c>
      <c r="C378" s="552">
        <v>0</v>
      </c>
      <c r="D378" s="552">
        <v>85000</v>
      </c>
      <c r="E378" s="551" t="s">
        <v>872</v>
      </c>
      <c r="F378" s="551" t="s">
        <v>100</v>
      </c>
      <c r="G378" s="551" t="s">
        <v>1549</v>
      </c>
      <c r="H378" s="551" t="s">
        <v>100</v>
      </c>
      <c r="I378" s="551" t="s">
        <v>2035</v>
      </c>
      <c r="J378" s="551" t="s">
        <v>100</v>
      </c>
      <c r="K378" s="551" t="s">
        <v>100</v>
      </c>
      <c r="L378" s="551" t="s">
        <v>100</v>
      </c>
      <c r="M378" s="551" t="s">
        <v>100</v>
      </c>
    </row>
    <row r="379" spans="1:13" ht="15">
      <c r="A379" s="551" t="s">
        <v>937</v>
      </c>
      <c r="B379" s="551" t="s">
        <v>938</v>
      </c>
      <c r="C379" s="552">
        <v>-765328.73</v>
      </c>
      <c r="D379" s="552">
        <v>139527.51</v>
      </c>
      <c r="E379" s="551" t="s">
        <v>872</v>
      </c>
      <c r="F379" s="551" t="s">
        <v>100</v>
      </c>
      <c r="G379" s="551" t="s">
        <v>1550</v>
      </c>
      <c r="H379" s="551" t="s">
        <v>939</v>
      </c>
      <c r="I379" s="551" t="s">
        <v>2035</v>
      </c>
      <c r="J379" s="551" t="s">
        <v>100</v>
      </c>
      <c r="K379" s="551" t="s">
        <v>100</v>
      </c>
      <c r="L379" s="551" t="s">
        <v>100</v>
      </c>
      <c r="M379" s="551" t="s">
        <v>100</v>
      </c>
    </row>
    <row r="380" spans="1:13" ht="15">
      <c r="A380" s="551" t="s">
        <v>940</v>
      </c>
      <c r="B380" s="551" t="s">
        <v>941</v>
      </c>
      <c r="C380" s="552">
        <v>0</v>
      </c>
      <c r="D380" s="552">
        <v>0</v>
      </c>
      <c r="E380" s="551" t="s">
        <v>872</v>
      </c>
      <c r="F380" s="551" t="s">
        <v>100</v>
      </c>
      <c r="G380" s="551" t="s">
        <v>1548</v>
      </c>
      <c r="H380" s="551" t="s">
        <v>100</v>
      </c>
      <c r="I380" s="551" t="s">
        <v>2035</v>
      </c>
      <c r="J380" s="551" t="s">
        <v>100</v>
      </c>
      <c r="K380" s="551" t="s">
        <v>100</v>
      </c>
      <c r="L380" s="551" t="s">
        <v>100</v>
      </c>
      <c r="M380" s="551" t="s">
        <v>100</v>
      </c>
    </row>
    <row r="381" spans="1:13" ht="15">
      <c r="A381" s="551" t="s">
        <v>942</v>
      </c>
      <c r="B381" s="551" t="s">
        <v>943</v>
      </c>
      <c r="C381" s="552">
        <v>0</v>
      </c>
      <c r="D381" s="552">
        <v>23500</v>
      </c>
      <c r="E381" s="551" t="s">
        <v>872</v>
      </c>
      <c r="F381" s="551" t="s">
        <v>100</v>
      </c>
      <c r="G381" s="551" t="s">
        <v>1549</v>
      </c>
      <c r="H381" s="551" t="s">
        <v>100</v>
      </c>
      <c r="I381" s="551" t="s">
        <v>2035</v>
      </c>
      <c r="J381" s="551" t="s">
        <v>100</v>
      </c>
      <c r="K381" s="551" t="s">
        <v>100</v>
      </c>
      <c r="L381" s="551" t="s">
        <v>100</v>
      </c>
      <c r="M381" s="551" t="s">
        <v>100</v>
      </c>
    </row>
    <row r="382" spans="1:13" ht="15">
      <c r="A382" s="551" t="s">
        <v>944</v>
      </c>
      <c r="B382" s="551" t="s">
        <v>945</v>
      </c>
      <c r="C382" s="552">
        <v>-5000</v>
      </c>
      <c r="D382" s="552">
        <v>5000</v>
      </c>
      <c r="E382" s="551" t="s">
        <v>872</v>
      </c>
      <c r="F382" s="551" t="s">
        <v>100</v>
      </c>
      <c r="G382" s="551" t="s">
        <v>1549</v>
      </c>
      <c r="H382" s="551" t="s">
        <v>100</v>
      </c>
      <c r="I382" s="551" t="s">
        <v>2035</v>
      </c>
      <c r="J382" s="551" t="s">
        <v>100</v>
      </c>
      <c r="K382" s="551" t="s">
        <v>100</v>
      </c>
      <c r="L382" s="551" t="s">
        <v>100</v>
      </c>
      <c r="M382" s="551" t="s">
        <v>100</v>
      </c>
    </row>
    <row r="383" spans="1:13" ht="15">
      <c r="A383" s="551" t="s">
        <v>946</v>
      </c>
      <c r="B383" s="551" t="s">
        <v>947</v>
      </c>
      <c r="C383" s="552">
        <v>-500</v>
      </c>
      <c r="D383" s="552">
        <v>0</v>
      </c>
      <c r="E383" s="551" t="s">
        <v>872</v>
      </c>
      <c r="F383" s="551" t="s">
        <v>100</v>
      </c>
      <c r="G383" s="551" t="s">
        <v>1549</v>
      </c>
      <c r="H383" s="551" t="s">
        <v>100</v>
      </c>
      <c r="I383" s="551" t="s">
        <v>2035</v>
      </c>
      <c r="J383" s="551" t="s">
        <v>100</v>
      </c>
      <c r="K383" s="551" t="s">
        <v>100</v>
      </c>
      <c r="L383" s="551" t="s">
        <v>100</v>
      </c>
      <c r="M383" s="551" t="s">
        <v>100</v>
      </c>
    </row>
    <row r="384" spans="1:13" ht="15">
      <c r="A384" s="551" t="s">
        <v>948</v>
      </c>
      <c r="B384" s="551" t="s">
        <v>949</v>
      </c>
      <c r="C384" s="552">
        <v>0</v>
      </c>
      <c r="D384" s="552">
        <v>0</v>
      </c>
      <c r="E384" s="551" t="s">
        <v>872</v>
      </c>
      <c r="F384" s="551" t="s">
        <v>100</v>
      </c>
      <c r="G384" s="551" t="s">
        <v>1549</v>
      </c>
      <c r="H384" s="551" t="s">
        <v>100</v>
      </c>
      <c r="I384" s="551" t="s">
        <v>2035</v>
      </c>
      <c r="J384" s="551" t="s">
        <v>100</v>
      </c>
      <c r="K384" s="551" t="s">
        <v>100</v>
      </c>
      <c r="L384" s="551" t="s">
        <v>100</v>
      </c>
      <c r="M384" s="551" t="s">
        <v>100</v>
      </c>
    </row>
    <row r="385" spans="1:13" ht="15">
      <c r="A385" s="551" t="s">
        <v>950</v>
      </c>
      <c r="B385" s="551" t="s">
        <v>951</v>
      </c>
      <c r="C385" s="552">
        <v>0</v>
      </c>
      <c r="D385" s="552">
        <v>150000</v>
      </c>
      <c r="E385" s="551" t="s">
        <v>872</v>
      </c>
      <c r="F385" s="551" t="s">
        <v>100</v>
      </c>
      <c r="G385" s="551" t="s">
        <v>1549</v>
      </c>
      <c r="H385" s="551" t="s">
        <v>100</v>
      </c>
      <c r="I385" s="551" t="s">
        <v>2035</v>
      </c>
      <c r="J385" s="551" t="s">
        <v>100</v>
      </c>
      <c r="K385" s="551" t="s">
        <v>100</v>
      </c>
      <c r="L385" s="551" t="s">
        <v>100</v>
      </c>
      <c r="M385" s="551" t="s">
        <v>100</v>
      </c>
    </row>
    <row r="386" spans="1:13" ht="15">
      <c r="A386" s="551" t="s">
        <v>952</v>
      </c>
      <c r="B386" s="551" t="s">
        <v>953</v>
      </c>
      <c r="C386" s="552">
        <v>-5500</v>
      </c>
      <c r="D386" s="552">
        <v>178500</v>
      </c>
      <c r="E386" s="551" t="s">
        <v>872</v>
      </c>
      <c r="F386" s="551" t="s">
        <v>100</v>
      </c>
      <c r="G386" s="551" t="s">
        <v>1550</v>
      </c>
      <c r="H386" s="551" t="s">
        <v>954</v>
      </c>
      <c r="I386" s="551" t="s">
        <v>2035</v>
      </c>
      <c r="J386" s="551" t="s">
        <v>100</v>
      </c>
      <c r="K386" s="551" t="s">
        <v>100</v>
      </c>
      <c r="L386" s="551" t="s">
        <v>100</v>
      </c>
      <c r="M386" s="551" t="s">
        <v>100</v>
      </c>
    </row>
    <row r="387" spans="1:13" ht="15">
      <c r="A387" s="551" t="s">
        <v>955</v>
      </c>
      <c r="B387" s="551" t="s">
        <v>956</v>
      </c>
      <c r="C387" s="552">
        <v>0</v>
      </c>
      <c r="D387" s="552">
        <v>0</v>
      </c>
      <c r="E387" s="551" t="s">
        <v>872</v>
      </c>
      <c r="F387" s="551" t="s">
        <v>100</v>
      </c>
      <c r="G387" s="551" t="s">
        <v>1548</v>
      </c>
      <c r="H387" s="551" t="s">
        <v>100</v>
      </c>
      <c r="I387" s="551" t="s">
        <v>2035</v>
      </c>
      <c r="J387" s="551" t="s">
        <v>100</v>
      </c>
      <c r="K387" s="551" t="s">
        <v>100</v>
      </c>
      <c r="L387" s="551" t="s">
        <v>100</v>
      </c>
      <c r="M387" s="551" t="s">
        <v>100</v>
      </c>
    </row>
    <row r="388" spans="1:13" ht="15">
      <c r="A388" s="551" t="s">
        <v>957</v>
      </c>
      <c r="B388" s="551" t="s">
        <v>958</v>
      </c>
      <c r="C388" s="552">
        <v>-13669.67</v>
      </c>
      <c r="D388" s="552">
        <v>7500</v>
      </c>
      <c r="E388" s="551" t="s">
        <v>872</v>
      </c>
      <c r="F388" s="551" t="s">
        <v>100</v>
      </c>
      <c r="G388" s="551" t="s">
        <v>1549</v>
      </c>
      <c r="H388" s="551" t="s">
        <v>100</v>
      </c>
      <c r="I388" s="551" t="s">
        <v>2035</v>
      </c>
      <c r="J388" s="551" t="s">
        <v>100</v>
      </c>
      <c r="K388" s="551" t="s">
        <v>100</v>
      </c>
      <c r="L388" s="551" t="s">
        <v>100</v>
      </c>
      <c r="M388" s="551" t="s">
        <v>100</v>
      </c>
    </row>
    <row r="389" spans="1:13" ht="15">
      <c r="A389" s="551" t="s">
        <v>959</v>
      </c>
      <c r="B389" s="551" t="s">
        <v>960</v>
      </c>
      <c r="C389" s="552">
        <v>-89497.88</v>
      </c>
      <c r="D389" s="552">
        <v>565865.03</v>
      </c>
      <c r="E389" s="551" t="s">
        <v>872</v>
      </c>
      <c r="F389" s="551" t="s">
        <v>100</v>
      </c>
      <c r="G389" s="551" t="s">
        <v>1549</v>
      </c>
      <c r="H389" s="551" t="s">
        <v>100</v>
      </c>
      <c r="I389" s="551" t="s">
        <v>2035</v>
      </c>
      <c r="J389" s="551" t="s">
        <v>100</v>
      </c>
      <c r="K389" s="551" t="s">
        <v>100</v>
      </c>
      <c r="L389" s="551" t="s">
        <v>100</v>
      </c>
      <c r="M389" s="551" t="s">
        <v>100</v>
      </c>
    </row>
    <row r="390" spans="1:13" ht="15">
      <c r="A390" s="551" t="s">
        <v>961</v>
      </c>
      <c r="B390" s="551" t="s">
        <v>962</v>
      </c>
      <c r="C390" s="552">
        <v>0</v>
      </c>
      <c r="D390" s="552">
        <v>52834</v>
      </c>
      <c r="E390" s="551" t="s">
        <v>872</v>
      </c>
      <c r="F390" s="551" t="s">
        <v>100</v>
      </c>
      <c r="G390" s="551" t="s">
        <v>1549</v>
      </c>
      <c r="H390" s="551" t="s">
        <v>100</v>
      </c>
      <c r="I390" s="551" t="s">
        <v>2035</v>
      </c>
      <c r="J390" s="551" t="s">
        <v>100</v>
      </c>
      <c r="K390" s="551" t="s">
        <v>100</v>
      </c>
      <c r="L390" s="551" t="s">
        <v>100</v>
      </c>
      <c r="M390" s="551" t="s">
        <v>100</v>
      </c>
    </row>
    <row r="391" spans="1:13" ht="15">
      <c r="A391" s="551" t="s">
        <v>963</v>
      </c>
      <c r="B391" s="551" t="s">
        <v>964</v>
      </c>
      <c r="C391" s="552">
        <v>0</v>
      </c>
      <c r="D391" s="552">
        <v>0</v>
      </c>
      <c r="E391" s="551" t="s">
        <v>872</v>
      </c>
      <c r="F391" s="551" t="s">
        <v>100</v>
      </c>
      <c r="G391" s="551" t="s">
        <v>1549</v>
      </c>
      <c r="H391" s="551" t="s">
        <v>100</v>
      </c>
      <c r="I391" s="551" t="s">
        <v>2035</v>
      </c>
      <c r="J391" s="551" t="s">
        <v>100</v>
      </c>
      <c r="K391" s="551" t="s">
        <v>100</v>
      </c>
      <c r="L391" s="551" t="s">
        <v>100</v>
      </c>
      <c r="M391" s="551" t="s">
        <v>100</v>
      </c>
    </row>
    <row r="392" spans="1:13" ht="15">
      <c r="A392" s="551" t="s">
        <v>965</v>
      </c>
      <c r="B392" s="551" t="s">
        <v>966</v>
      </c>
      <c r="C392" s="552">
        <v>-103167.55</v>
      </c>
      <c r="D392" s="552">
        <v>626199.03</v>
      </c>
      <c r="E392" s="551" t="s">
        <v>872</v>
      </c>
      <c r="F392" s="551" t="s">
        <v>100</v>
      </c>
      <c r="G392" s="551" t="s">
        <v>1550</v>
      </c>
      <c r="H392" s="551" t="s">
        <v>967</v>
      </c>
      <c r="I392" s="551" t="s">
        <v>2035</v>
      </c>
      <c r="J392" s="551" t="s">
        <v>100</v>
      </c>
      <c r="K392" s="551" t="s">
        <v>100</v>
      </c>
      <c r="L392" s="551" t="s">
        <v>100</v>
      </c>
      <c r="M392" s="551" t="s">
        <v>100</v>
      </c>
    </row>
    <row r="393" spans="1:13" ht="15">
      <c r="A393" s="551" t="s">
        <v>968</v>
      </c>
      <c r="B393" s="551" t="s">
        <v>938</v>
      </c>
      <c r="C393" s="552">
        <v>-873996.28</v>
      </c>
      <c r="D393" s="552">
        <v>944226.54</v>
      </c>
      <c r="E393" s="551" t="s">
        <v>872</v>
      </c>
      <c r="F393" s="551" t="s">
        <v>100</v>
      </c>
      <c r="G393" s="551" t="s">
        <v>1550</v>
      </c>
      <c r="H393" s="551" t="s">
        <v>969</v>
      </c>
      <c r="I393" s="551" t="s">
        <v>2035</v>
      </c>
      <c r="J393" s="551" t="s">
        <v>100</v>
      </c>
      <c r="K393" s="551" t="s">
        <v>100</v>
      </c>
      <c r="L393" s="551" t="s">
        <v>100</v>
      </c>
      <c r="M393" s="551" t="s">
        <v>100</v>
      </c>
    </row>
    <row r="394" spans="1:13" ht="15">
      <c r="A394" s="551" t="s">
        <v>970</v>
      </c>
      <c r="B394" s="551" t="s">
        <v>971</v>
      </c>
      <c r="C394" s="552">
        <v>0</v>
      </c>
      <c r="D394" s="552">
        <v>0</v>
      </c>
      <c r="E394" s="551" t="s">
        <v>872</v>
      </c>
      <c r="F394" s="551" t="s">
        <v>100</v>
      </c>
      <c r="G394" s="551" t="s">
        <v>1548</v>
      </c>
      <c r="H394" s="551" t="s">
        <v>100</v>
      </c>
      <c r="I394" s="551" t="s">
        <v>2035</v>
      </c>
      <c r="J394" s="551" t="s">
        <v>100</v>
      </c>
      <c r="K394" s="551" t="s">
        <v>100</v>
      </c>
      <c r="L394" s="551" t="s">
        <v>100</v>
      </c>
      <c r="M394" s="551" t="s">
        <v>100</v>
      </c>
    </row>
    <row r="395" spans="1:13" ht="15">
      <c r="A395" s="551" t="s">
        <v>972</v>
      </c>
      <c r="B395" s="551" t="s">
        <v>973</v>
      </c>
      <c r="C395" s="552">
        <v>-1248558.28</v>
      </c>
      <c r="D395" s="552">
        <v>2359774.75</v>
      </c>
      <c r="E395" s="551" t="s">
        <v>872</v>
      </c>
      <c r="F395" s="551" t="s">
        <v>100</v>
      </c>
      <c r="G395" s="551" t="s">
        <v>1549</v>
      </c>
      <c r="H395" s="551" t="s">
        <v>100</v>
      </c>
      <c r="I395" s="551" t="s">
        <v>2035</v>
      </c>
      <c r="J395" s="551" t="s">
        <v>100</v>
      </c>
      <c r="K395" s="551" t="s">
        <v>100</v>
      </c>
      <c r="L395" s="551" t="s">
        <v>100</v>
      </c>
      <c r="M395" s="551" t="s">
        <v>100</v>
      </c>
    </row>
    <row r="396" spans="1:13" ht="15">
      <c r="A396" s="551" t="s">
        <v>974</v>
      </c>
      <c r="B396" s="551" t="s">
        <v>975</v>
      </c>
      <c r="C396" s="552">
        <v>-23.92</v>
      </c>
      <c r="D396" s="552">
        <v>8795.85</v>
      </c>
      <c r="E396" s="551" t="s">
        <v>872</v>
      </c>
      <c r="F396" s="551" t="s">
        <v>100</v>
      </c>
      <c r="G396" s="551" t="s">
        <v>1549</v>
      </c>
      <c r="H396" s="551" t="s">
        <v>100</v>
      </c>
      <c r="I396" s="551" t="s">
        <v>2035</v>
      </c>
      <c r="J396" s="551" t="s">
        <v>100</v>
      </c>
      <c r="K396" s="551" t="s">
        <v>100</v>
      </c>
      <c r="L396" s="551" t="s">
        <v>100</v>
      </c>
      <c r="M396" s="551" t="s">
        <v>100</v>
      </c>
    </row>
    <row r="397" spans="1:13" ht="15">
      <c r="A397" s="551" t="s">
        <v>976</v>
      </c>
      <c r="B397" s="551" t="s">
        <v>977</v>
      </c>
      <c r="C397" s="552">
        <v>-4198.57</v>
      </c>
      <c r="D397" s="552">
        <v>4164.9399999999996</v>
      </c>
      <c r="E397" s="551" t="s">
        <v>872</v>
      </c>
      <c r="F397" s="551" t="s">
        <v>100</v>
      </c>
      <c r="G397" s="551" t="s">
        <v>1549</v>
      </c>
      <c r="H397" s="551" t="s">
        <v>100</v>
      </c>
      <c r="I397" s="551" t="s">
        <v>2035</v>
      </c>
      <c r="J397" s="551" t="s">
        <v>100</v>
      </c>
      <c r="K397" s="551" t="s">
        <v>100</v>
      </c>
      <c r="L397" s="551" t="s">
        <v>100</v>
      </c>
      <c r="M397" s="551" t="s">
        <v>100</v>
      </c>
    </row>
    <row r="398" spans="1:13" ht="15">
      <c r="A398" s="551" t="s">
        <v>978</v>
      </c>
      <c r="B398" s="551" t="s">
        <v>979</v>
      </c>
      <c r="C398" s="552">
        <v>0</v>
      </c>
      <c r="D398" s="552">
        <v>0</v>
      </c>
      <c r="E398" s="551" t="s">
        <v>872</v>
      </c>
      <c r="F398" s="551" t="s">
        <v>100</v>
      </c>
      <c r="G398" s="551" t="s">
        <v>1549</v>
      </c>
      <c r="H398" s="551" t="s">
        <v>100</v>
      </c>
      <c r="I398" s="551" t="s">
        <v>2035</v>
      </c>
      <c r="J398" s="551" t="s">
        <v>100</v>
      </c>
      <c r="K398" s="551" t="s">
        <v>100</v>
      </c>
      <c r="L398" s="551" t="s">
        <v>100</v>
      </c>
      <c r="M398" s="551" t="s">
        <v>100</v>
      </c>
    </row>
    <row r="399" spans="1:13" ht="15">
      <c r="A399" s="551" t="s">
        <v>980</v>
      </c>
      <c r="B399" s="551" t="s">
        <v>981</v>
      </c>
      <c r="C399" s="552">
        <v>-15439.71</v>
      </c>
      <c r="D399" s="552">
        <v>-9993.59</v>
      </c>
      <c r="E399" s="551" t="s">
        <v>872</v>
      </c>
      <c r="F399" s="551" t="s">
        <v>100</v>
      </c>
      <c r="G399" s="551" t="s">
        <v>1549</v>
      </c>
      <c r="H399" s="551" t="s">
        <v>100</v>
      </c>
      <c r="I399" s="551" t="s">
        <v>2035</v>
      </c>
      <c r="J399" s="551" t="s">
        <v>100</v>
      </c>
      <c r="K399" s="551" t="s">
        <v>100</v>
      </c>
      <c r="L399" s="551" t="s">
        <v>100</v>
      </c>
      <c r="M399" s="551" t="s">
        <v>100</v>
      </c>
    </row>
    <row r="400" spans="1:13" ht="15">
      <c r="A400" s="551" t="s">
        <v>982</v>
      </c>
      <c r="B400" s="551" t="s">
        <v>983</v>
      </c>
      <c r="C400" s="552">
        <v>10099.200000000001</v>
      </c>
      <c r="D400" s="552">
        <v>50496</v>
      </c>
      <c r="E400" s="551" t="s">
        <v>872</v>
      </c>
      <c r="F400" s="551" t="s">
        <v>100</v>
      </c>
      <c r="G400" s="551" t="s">
        <v>1549</v>
      </c>
      <c r="H400" s="551" t="s">
        <v>100</v>
      </c>
      <c r="I400" s="551" t="s">
        <v>2035</v>
      </c>
      <c r="J400" s="551" t="s">
        <v>100</v>
      </c>
      <c r="K400" s="551" t="s">
        <v>100</v>
      </c>
      <c r="L400" s="551" t="s">
        <v>100</v>
      </c>
      <c r="M400" s="551" t="s">
        <v>100</v>
      </c>
    </row>
    <row r="401" spans="1:13" ht="15">
      <c r="A401" s="551" t="s">
        <v>984</v>
      </c>
      <c r="B401" s="551" t="s">
        <v>985</v>
      </c>
      <c r="C401" s="552">
        <v>-7.36</v>
      </c>
      <c r="D401" s="552">
        <v>0.46</v>
      </c>
      <c r="E401" s="551" t="s">
        <v>872</v>
      </c>
      <c r="F401" s="551" t="s">
        <v>100</v>
      </c>
      <c r="G401" s="551" t="s">
        <v>1549</v>
      </c>
      <c r="H401" s="551" t="s">
        <v>100</v>
      </c>
      <c r="I401" s="551" t="s">
        <v>2035</v>
      </c>
      <c r="J401" s="551" t="s">
        <v>100</v>
      </c>
      <c r="K401" s="551" t="s">
        <v>100</v>
      </c>
      <c r="L401" s="551" t="s">
        <v>100</v>
      </c>
      <c r="M401" s="551" t="s">
        <v>100</v>
      </c>
    </row>
    <row r="402" spans="1:13" ht="15">
      <c r="A402" s="551" t="s">
        <v>986</v>
      </c>
      <c r="B402" s="551" t="s">
        <v>987</v>
      </c>
      <c r="C402" s="552">
        <v>5025.5</v>
      </c>
      <c r="D402" s="552">
        <v>7254.5</v>
      </c>
      <c r="E402" s="551" t="s">
        <v>872</v>
      </c>
      <c r="F402" s="551" t="s">
        <v>100</v>
      </c>
      <c r="G402" s="551" t="s">
        <v>1549</v>
      </c>
      <c r="H402" s="551" t="s">
        <v>100</v>
      </c>
      <c r="I402" s="551" t="s">
        <v>2035</v>
      </c>
      <c r="J402" s="551" t="s">
        <v>100</v>
      </c>
      <c r="K402" s="551" t="s">
        <v>100</v>
      </c>
      <c r="L402" s="551" t="s">
        <v>100</v>
      </c>
      <c r="M402" s="551" t="s">
        <v>100</v>
      </c>
    </row>
    <row r="403" spans="1:13" ht="15">
      <c r="A403" s="551" t="s">
        <v>988</v>
      </c>
      <c r="B403" s="551" t="s">
        <v>989</v>
      </c>
      <c r="C403" s="552">
        <v>36.75</v>
      </c>
      <c r="D403" s="552">
        <v>984.82</v>
      </c>
      <c r="E403" s="551" t="s">
        <v>872</v>
      </c>
      <c r="F403" s="551" t="s">
        <v>100</v>
      </c>
      <c r="G403" s="551" t="s">
        <v>1549</v>
      </c>
      <c r="H403" s="551" t="s">
        <v>100</v>
      </c>
      <c r="I403" s="551" t="s">
        <v>2035</v>
      </c>
      <c r="J403" s="551" t="s">
        <v>100</v>
      </c>
      <c r="K403" s="551" t="s">
        <v>100</v>
      </c>
      <c r="L403" s="551" t="s">
        <v>100</v>
      </c>
      <c r="M403" s="551" t="s">
        <v>100</v>
      </c>
    </row>
    <row r="404" spans="1:13" ht="15">
      <c r="A404" s="551" t="s">
        <v>990</v>
      </c>
      <c r="B404" s="551" t="s">
        <v>991</v>
      </c>
      <c r="C404" s="552">
        <v>5507.13</v>
      </c>
      <c r="D404" s="552">
        <v>10727.11</v>
      </c>
      <c r="E404" s="551" t="s">
        <v>872</v>
      </c>
      <c r="F404" s="551" t="s">
        <v>100</v>
      </c>
      <c r="G404" s="551" t="s">
        <v>1549</v>
      </c>
      <c r="H404" s="551" t="s">
        <v>100</v>
      </c>
      <c r="I404" s="551" t="s">
        <v>2035</v>
      </c>
      <c r="J404" s="551" t="s">
        <v>100</v>
      </c>
      <c r="K404" s="551" t="s">
        <v>100</v>
      </c>
      <c r="L404" s="551" t="s">
        <v>100</v>
      </c>
      <c r="M404" s="551" t="s">
        <v>100</v>
      </c>
    </row>
    <row r="405" spans="1:13" ht="15">
      <c r="A405" s="551" t="s">
        <v>992</v>
      </c>
      <c r="B405" s="551" t="s">
        <v>993</v>
      </c>
      <c r="C405" s="552">
        <v>0</v>
      </c>
      <c r="D405" s="552">
        <v>0</v>
      </c>
      <c r="E405" s="551" t="s">
        <v>872</v>
      </c>
      <c r="F405" s="551" t="s">
        <v>100</v>
      </c>
      <c r="G405" s="551" t="s">
        <v>1549</v>
      </c>
      <c r="H405" s="551" t="s">
        <v>100</v>
      </c>
      <c r="I405" s="551" t="s">
        <v>2035</v>
      </c>
      <c r="J405" s="551" t="s">
        <v>100</v>
      </c>
      <c r="K405" s="551" t="s">
        <v>100</v>
      </c>
      <c r="L405" s="551" t="s">
        <v>100</v>
      </c>
      <c r="M405" s="551" t="s">
        <v>100</v>
      </c>
    </row>
    <row r="406" spans="1:13" ht="15">
      <c r="A406" s="551" t="s">
        <v>994</v>
      </c>
      <c r="B406" s="551" t="s">
        <v>995</v>
      </c>
      <c r="C406" s="552">
        <v>0</v>
      </c>
      <c r="D406" s="552">
        <v>0</v>
      </c>
      <c r="E406" s="551" t="s">
        <v>872</v>
      </c>
      <c r="F406" s="551" t="s">
        <v>100</v>
      </c>
      <c r="G406" s="551" t="s">
        <v>1549</v>
      </c>
      <c r="H406" s="551" t="s">
        <v>100</v>
      </c>
      <c r="I406" s="551" t="s">
        <v>2035</v>
      </c>
      <c r="J406" s="551" t="s">
        <v>100</v>
      </c>
      <c r="K406" s="551" t="s">
        <v>100</v>
      </c>
      <c r="L406" s="551" t="s">
        <v>100</v>
      </c>
      <c r="M406" s="551" t="s">
        <v>100</v>
      </c>
    </row>
    <row r="407" spans="1:13" ht="15">
      <c r="A407" s="551" t="s">
        <v>996</v>
      </c>
      <c r="B407" s="551" t="s">
        <v>997</v>
      </c>
      <c r="C407" s="552">
        <v>-2.69</v>
      </c>
      <c r="D407" s="552">
        <v>987.24</v>
      </c>
      <c r="E407" s="551" t="s">
        <v>872</v>
      </c>
      <c r="F407" s="551" t="s">
        <v>100</v>
      </c>
      <c r="G407" s="551" t="s">
        <v>1549</v>
      </c>
      <c r="H407" s="551" t="s">
        <v>100</v>
      </c>
      <c r="I407" s="551" t="s">
        <v>2035</v>
      </c>
      <c r="J407" s="551" t="s">
        <v>100</v>
      </c>
      <c r="K407" s="551" t="s">
        <v>100</v>
      </c>
      <c r="L407" s="551" t="s">
        <v>100</v>
      </c>
      <c r="M407" s="551" t="s">
        <v>100</v>
      </c>
    </row>
    <row r="408" spans="1:13" ht="15">
      <c r="A408" s="551" t="s">
        <v>998</v>
      </c>
      <c r="B408" s="551" t="s">
        <v>999</v>
      </c>
      <c r="C408" s="552">
        <v>-19523.78</v>
      </c>
      <c r="D408" s="552">
        <v>1884.14</v>
      </c>
      <c r="E408" s="551" t="s">
        <v>872</v>
      </c>
      <c r="F408" s="551" t="s">
        <v>100</v>
      </c>
      <c r="G408" s="551" t="s">
        <v>1549</v>
      </c>
      <c r="H408" s="551" t="s">
        <v>100</v>
      </c>
      <c r="I408" s="551" t="s">
        <v>2035</v>
      </c>
      <c r="J408" s="551" t="s">
        <v>100</v>
      </c>
      <c r="K408" s="551" t="s">
        <v>100</v>
      </c>
      <c r="L408" s="551" t="s">
        <v>100</v>
      </c>
      <c r="M408" s="551" t="s">
        <v>100</v>
      </c>
    </row>
    <row r="409" spans="1:13" ht="15">
      <c r="A409" s="551" t="s">
        <v>1000</v>
      </c>
      <c r="B409" s="551" t="s">
        <v>1001</v>
      </c>
      <c r="C409" s="552">
        <v>0</v>
      </c>
      <c r="D409" s="552">
        <v>3566.98</v>
      </c>
      <c r="E409" s="551" t="s">
        <v>872</v>
      </c>
      <c r="F409" s="551" t="s">
        <v>100</v>
      </c>
      <c r="G409" s="551" t="s">
        <v>1549</v>
      </c>
      <c r="H409" s="551" t="s">
        <v>100</v>
      </c>
      <c r="I409" s="551" t="s">
        <v>2035</v>
      </c>
      <c r="J409" s="551" t="s">
        <v>100</v>
      </c>
      <c r="K409" s="551" t="s">
        <v>100</v>
      </c>
      <c r="L409" s="551" t="s">
        <v>100</v>
      </c>
      <c r="M409" s="551" t="s">
        <v>100</v>
      </c>
    </row>
    <row r="410" spans="1:13" ht="15">
      <c r="A410" s="551" t="s">
        <v>1002</v>
      </c>
      <c r="B410" s="551" t="s">
        <v>1003</v>
      </c>
      <c r="C410" s="552">
        <v>-1267085.73</v>
      </c>
      <c r="D410" s="552">
        <v>2438643.2000000002</v>
      </c>
      <c r="E410" s="551" t="s">
        <v>872</v>
      </c>
      <c r="F410" s="551" t="s">
        <v>100</v>
      </c>
      <c r="G410" s="551" t="s">
        <v>1550</v>
      </c>
      <c r="H410" s="551" t="s">
        <v>1004</v>
      </c>
      <c r="I410" s="551" t="s">
        <v>2035</v>
      </c>
      <c r="J410" s="551" t="s">
        <v>100</v>
      </c>
      <c r="K410" s="551" t="s">
        <v>100</v>
      </c>
      <c r="L410" s="551" t="s">
        <v>100</v>
      </c>
      <c r="M410" s="551" t="s">
        <v>100</v>
      </c>
    </row>
    <row r="411" spans="1:13" ht="15">
      <c r="A411" s="551" t="s">
        <v>1005</v>
      </c>
      <c r="B411" s="551" t="s">
        <v>1006</v>
      </c>
      <c r="C411" s="552">
        <v>-1142968.5900000001</v>
      </c>
      <c r="D411" s="552">
        <v>66856542.960000001</v>
      </c>
      <c r="E411" s="551" t="s">
        <v>872</v>
      </c>
      <c r="F411" s="551" t="s">
        <v>100</v>
      </c>
      <c r="G411" s="551" t="s">
        <v>1550</v>
      </c>
      <c r="H411" s="551" t="s">
        <v>1007</v>
      </c>
      <c r="I411" s="551" t="s">
        <v>2035</v>
      </c>
      <c r="J411" s="551" t="s">
        <v>100</v>
      </c>
      <c r="K411" s="551" t="s">
        <v>100</v>
      </c>
      <c r="L411" s="551" t="s">
        <v>100</v>
      </c>
      <c r="M411" s="551" t="s">
        <v>100</v>
      </c>
    </row>
    <row r="412" spans="1:13" ht="15">
      <c r="A412" s="551" t="s">
        <v>1008</v>
      </c>
      <c r="B412" s="551" t="s">
        <v>1009</v>
      </c>
      <c r="C412" s="552">
        <v>0</v>
      </c>
      <c r="D412" s="552">
        <v>0</v>
      </c>
      <c r="E412" s="551" t="s">
        <v>872</v>
      </c>
      <c r="F412" s="551" t="s">
        <v>100</v>
      </c>
      <c r="G412" s="551" t="s">
        <v>1548</v>
      </c>
      <c r="H412" s="551" t="s">
        <v>100</v>
      </c>
      <c r="I412" s="551" t="s">
        <v>2035</v>
      </c>
      <c r="J412" s="551" t="s">
        <v>100</v>
      </c>
      <c r="K412" s="551" t="s">
        <v>100</v>
      </c>
      <c r="L412" s="551" t="s">
        <v>100</v>
      </c>
      <c r="M412" s="551" t="s">
        <v>100</v>
      </c>
    </row>
    <row r="413" spans="1:13" ht="15">
      <c r="A413" s="551" t="s">
        <v>1010</v>
      </c>
      <c r="B413" s="551" t="s">
        <v>1011</v>
      </c>
      <c r="C413" s="552">
        <v>0</v>
      </c>
      <c r="D413" s="552">
        <v>0</v>
      </c>
      <c r="E413" s="551" t="s">
        <v>872</v>
      </c>
      <c r="F413" s="551" t="s">
        <v>100</v>
      </c>
      <c r="G413" s="551" t="s">
        <v>1548</v>
      </c>
      <c r="H413" s="551" t="s">
        <v>100</v>
      </c>
      <c r="I413" s="551" t="s">
        <v>2035</v>
      </c>
      <c r="J413" s="551" t="s">
        <v>100</v>
      </c>
      <c r="K413" s="551" t="s">
        <v>100</v>
      </c>
      <c r="L413" s="551" t="s">
        <v>100</v>
      </c>
      <c r="M413" s="551" t="s">
        <v>100</v>
      </c>
    </row>
    <row r="414" spans="1:13" ht="15">
      <c r="A414" s="551" t="s">
        <v>1012</v>
      </c>
      <c r="B414" s="551" t="s">
        <v>1013</v>
      </c>
      <c r="C414" s="552">
        <v>0</v>
      </c>
      <c r="D414" s="552">
        <v>0</v>
      </c>
      <c r="E414" s="551" t="s">
        <v>872</v>
      </c>
      <c r="F414" s="551" t="s">
        <v>100</v>
      </c>
      <c r="G414" s="551" t="s">
        <v>1548</v>
      </c>
      <c r="H414" s="551" t="s">
        <v>100</v>
      </c>
      <c r="I414" s="551" t="s">
        <v>2035</v>
      </c>
      <c r="J414" s="551" t="s">
        <v>100</v>
      </c>
      <c r="K414" s="551" t="s">
        <v>100</v>
      </c>
      <c r="L414" s="551" t="s">
        <v>100</v>
      </c>
      <c r="M414" s="551" t="s">
        <v>100</v>
      </c>
    </row>
    <row r="415" spans="1:13" ht="15">
      <c r="A415" s="551" t="s">
        <v>1014</v>
      </c>
      <c r="B415" s="551" t="s">
        <v>1015</v>
      </c>
      <c r="C415" s="552">
        <v>0</v>
      </c>
      <c r="D415" s="552">
        <v>-22471284.829999998</v>
      </c>
      <c r="E415" s="551" t="s">
        <v>872</v>
      </c>
      <c r="F415" s="551" t="s">
        <v>100</v>
      </c>
      <c r="G415" s="551" t="s">
        <v>1549</v>
      </c>
      <c r="H415" s="551" t="s">
        <v>100</v>
      </c>
      <c r="I415" s="551" t="s">
        <v>2035</v>
      </c>
      <c r="J415" s="551" t="s">
        <v>100</v>
      </c>
      <c r="K415" s="551" t="s">
        <v>100</v>
      </c>
      <c r="L415" s="551" t="s">
        <v>100</v>
      </c>
      <c r="M415" s="551" t="s">
        <v>100</v>
      </c>
    </row>
    <row r="416" spans="1:13" ht="15">
      <c r="A416" s="551" t="s">
        <v>1016</v>
      </c>
      <c r="B416" s="551" t="s">
        <v>106</v>
      </c>
      <c r="C416" s="552">
        <v>4088650.47</v>
      </c>
      <c r="D416" s="552">
        <v>2889920.83</v>
      </c>
      <c r="E416" s="551" t="s">
        <v>872</v>
      </c>
      <c r="F416" s="551" t="s">
        <v>100</v>
      </c>
      <c r="G416" s="551" t="s">
        <v>1584</v>
      </c>
      <c r="H416" s="551" t="s">
        <v>869</v>
      </c>
      <c r="I416" s="551" t="s">
        <v>2035</v>
      </c>
      <c r="J416" s="551" t="s">
        <v>100</v>
      </c>
      <c r="K416" s="551" t="s">
        <v>100</v>
      </c>
      <c r="L416" s="551" t="s">
        <v>100</v>
      </c>
      <c r="M416" s="551" t="s">
        <v>100</v>
      </c>
    </row>
    <row r="417" spans="1:13" ht="15">
      <c r="A417" s="551" t="s">
        <v>1017</v>
      </c>
      <c r="B417" s="551" t="s">
        <v>1018</v>
      </c>
      <c r="C417" s="552">
        <v>0</v>
      </c>
      <c r="D417" s="552">
        <v>-3131550</v>
      </c>
      <c r="E417" s="551" t="s">
        <v>872</v>
      </c>
      <c r="F417" s="551" t="s">
        <v>100</v>
      </c>
      <c r="G417" s="551" t="s">
        <v>1549</v>
      </c>
      <c r="H417" s="551" t="s">
        <v>100</v>
      </c>
      <c r="I417" s="551" t="s">
        <v>2035</v>
      </c>
      <c r="J417" s="551" t="s">
        <v>100</v>
      </c>
      <c r="K417" s="551" t="s">
        <v>100</v>
      </c>
      <c r="L417" s="551" t="s">
        <v>100</v>
      </c>
      <c r="M417" s="551" t="s">
        <v>100</v>
      </c>
    </row>
    <row r="418" spans="1:13" ht="15">
      <c r="A418" s="551" t="s">
        <v>1019</v>
      </c>
      <c r="B418" s="551" t="s">
        <v>1020</v>
      </c>
      <c r="C418" s="552">
        <v>0</v>
      </c>
      <c r="D418" s="552">
        <v>703434.84</v>
      </c>
      <c r="E418" s="551" t="s">
        <v>872</v>
      </c>
      <c r="F418" s="551" t="s">
        <v>100</v>
      </c>
      <c r="G418" s="551" t="s">
        <v>1549</v>
      </c>
      <c r="H418" s="551" t="s">
        <v>100</v>
      </c>
      <c r="I418" s="551" t="s">
        <v>2035</v>
      </c>
      <c r="J418" s="551" t="s">
        <v>100</v>
      </c>
      <c r="K418" s="551" t="s">
        <v>100</v>
      </c>
      <c r="L418" s="551" t="s">
        <v>100</v>
      </c>
      <c r="M418" s="551" t="s">
        <v>100</v>
      </c>
    </row>
    <row r="419" spans="1:13" ht="15">
      <c r="A419" s="551" t="s">
        <v>1021</v>
      </c>
      <c r="B419" s="551" t="s">
        <v>1022</v>
      </c>
      <c r="C419" s="552">
        <v>0</v>
      </c>
      <c r="D419" s="552">
        <v>-20325146.149999999</v>
      </c>
      <c r="E419" s="551" t="s">
        <v>872</v>
      </c>
      <c r="F419" s="551" t="s">
        <v>100</v>
      </c>
      <c r="G419" s="551" t="s">
        <v>1549</v>
      </c>
      <c r="H419" s="551" t="s">
        <v>100</v>
      </c>
      <c r="I419" s="551" t="s">
        <v>2035</v>
      </c>
      <c r="J419" s="551" t="s">
        <v>100</v>
      </c>
      <c r="K419" s="551" t="s">
        <v>100</v>
      </c>
      <c r="L419" s="551" t="s">
        <v>100</v>
      </c>
      <c r="M419" s="551" t="s">
        <v>100</v>
      </c>
    </row>
    <row r="420" spans="1:13" ht="15">
      <c r="A420" s="551" t="s">
        <v>1023</v>
      </c>
      <c r="B420" s="551" t="s">
        <v>1024</v>
      </c>
      <c r="C420" s="552">
        <v>0</v>
      </c>
      <c r="D420" s="552">
        <v>0</v>
      </c>
      <c r="E420" s="551" t="s">
        <v>872</v>
      </c>
      <c r="F420" s="551" t="s">
        <v>100</v>
      </c>
      <c r="G420" s="551" t="s">
        <v>1549</v>
      </c>
      <c r="H420" s="551" t="s">
        <v>100</v>
      </c>
      <c r="I420" s="551" t="s">
        <v>2035</v>
      </c>
      <c r="J420" s="551" t="s">
        <v>100</v>
      </c>
      <c r="K420" s="551" t="s">
        <v>100</v>
      </c>
      <c r="L420" s="551" t="s">
        <v>100</v>
      </c>
      <c r="M420" s="551" t="s">
        <v>100</v>
      </c>
    </row>
    <row r="421" spans="1:13" ht="15">
      <c r="A421" s="551" t="s">
        <v>1025</v>
      </c>
      <c r="B421" s="551" t="s">
        <v>1026</v>
      </c>
      <c r="C421" s="552">
        <v>0</v>
      </c>
      <c r="D421" s="552">
        <v>-45224546.140000001</v>
      </c>
      <c r="E421" s="551" t="s">
        <v>872</v>
      </c>
      <c r="F421" s="551" t="s">
        <v>100</v>
      </c>
      <c r="G421" s="551" t="s">
        <v>1550</v>
      </c>
      <c r="H421" s="551" t="s">
        <v>1027</v>
      </c>
      <c r="I421" s="551" t="s">
        <v>2035</v>
      </c>
      <c r="J421" s="551" t="s">
        <v>100</v>
      </c>
      <c r="K421" s="551" t="s">
        <v>100</v>
      </c>
      <c r="L421" s="551" t="s">
        <v>100</v>
      </c>
      <c r="M421" s="551" t="s">
        <v>100</v>
      </c>
    </row>
    <row r="422" spans="1:13" ht="15">
      <c r="A422" s="551" t="s">
        <v>1028</v>
      </c>
      <c r="B422" s="551" t="s">
        <v>1029</v>
      </c>
      <c r="C422" s="552">
        <v>0</v>
      </c>
      <c r="D422" s="552">
        <v>0</v>
      </c>
      <c r="E422" s="551" t="s">
        <v>872</v>
      </c>
      <c r="F422" s="551" t="s">
        <v>100</v>
      </c>
      <c r="G422" s="551" t="s">
        <v>1548</v>
      </c>
      <c r="H422" s="551" t="s">
        <v>100</v>
      </c>
      <c r="I422" s="551" t="s">
        <v>2035</v>
      </c>
      <c r="J422" s="551" t="s">
        <v>100</v>
      </c>
      <c r="K422" s="551" t="s">
        <v>100</v>
      </c>
      <c r="L422" s="551" t="s">
        <v>100</v>
      </c>
      <c r="M422" s="551" t="s">
        <v>100</v>
      </c>
    </row>
    <row r="423" spans="1:13" ht="15">
      <c r="A423" s="551" t="s">
        <v>1030</v>
      </c>
      <c r="B423" s="551" t="s">
        <v>1031</v>
      </c>
      <c r="C423" s="552">
        <v>0</v>
      </c>
      <c r="D423" s="552">
        <v>-14521176.75</v>
      </c>
      <c r="E423" s="551" t="s">
        <v>872</v>
      </c>
      <c r="F423" s="551" t="s">
        <v>100</v>
      </c>
      <c r="G423" s="551" t="s">
        <v>1549</v>
      </c>
      <c r="H423" s="551" t="s">
        <v>100</v>
      </c>
      <c r="I423" s="551" t="s">
        <v>2035</v>
      </c>
      <c r="J423" s="551" t="s">
        <v>100</v>
      </c>
      <c r="K423" s="551" t="s">
        <v>100</v>
      </c>
      <c r="L423" s="551" t="s">
        <v>100</v>
      </c>
      <c r="M423" s="551" t="s">
        <v>100</v>
      </c>
    </row>
    <row r="424" spans="1:13" ht="15">
      <c r="A424" s="551" t="s">
        <v>1032</v>
      </c>
      <c r="B424" s="551" t="s">
        <v>1033</v>
      </c>
      <c r="C424" s="552">
        <v>-23280</v>
      </c>
      <c r="D424" s="552">
        <v>-66840</v>
      </c>
      <c r="E424" s="551" t="s">
        <v>872</v>
      </c>
      <c r="F424" s="551" t="s">
        <v>100</v>
      </c>
      <c r="G424" s="551" t="s">
        <v>1549</v>
      </c>
      <c r="H424" s="551" t="s">
        <v>100</v>
      </c>
      <c r="I424" s="551" t="s">
        <v>2036</v>
      </c>
      <c r="J424" s="551" t="s">
        <v>2037</v>
      </c>
      <c r="K424" s="551" t="s">
        <v>1426</v>
      </c>
      <c r="L424" s="551" t="s">
        <v>100</v>
      </c>
      <c r="M424" s="551" t="s">
        <v>100</v>
      </c>
    </row>
    <row r="425" spans="1:13" ht="15">
      <c r="A425" s="551" t="s">
        <v>1034</v>
      </c>
      <c r="B425" s="551" t="s">
        <v>1035</v>
      </c>
      <c r="C425" s="552">
        <v>-61982</v>
      </c>
      <c r="D425" s="552">
        <v>488492</v>
      </c>
      <c r="E425" s="551" t="s">
        <v>872</v>
      </c>
      <c r="F425" s="551" t="s">
        <v>100</v>
      </c>
      <c r="G425" s="551" t="s">
        <v>1549</v>
      </c>
      <c r="H425" s="551" t="s">
        <v>100</v>
      </c>
      <c r="I425" s="551" t="s">
        <v>2036</v>
      </c>
      <c r="J425" s="551" t="s">
        <v>2037</v>
      </c>
      <c r="K425" s="551" t="s">
        <v>1426</v>
      </c>
      <c r="L425" s="551" t="s">
        <v>100</v>
      </c>
      <c r="M425" s="551" t="s">
        <v>100</v>
      </c>
    </row>
    <row r="426" spans="1:13" ht="15">
      <c r="A426" s="551" t="s">
        <v>1036</v>
      </c>
      <c r="B426" s="551" t="s">
        <v>1037</v>
      </c>
      <c r="C426" s="552">
        <v>-52499</v>
      </c>
      <c r="D426" s="552">
        <v>6746279</v>
      </c>
      <c r="E426" s="551" t="s">
        <v>872</v>
      </c>
      <c r="F426" s="551" t="s">
        <v>100</v>
      </c>
      <c r="G426" s="551" t="s">
        <v>1549</v>
      </c>
      <c r="H426" s="551" t="s">
        <v>100</v>
      </c>
      <c r="I426" s="551" t="s">
        <v>2035</v>
      </c>
      <c r="J426" s="551" t="s">
        <v>100</v>
      </c>
      <c r="K426" s="551" t="s">
        <v>100</v>
      </c>
      <c r="L426" s="551" t="s">
        <v>100</v>
      </c>
      <c r="M426" s="551" t="s">
        <v>100</v>
      </c>
    </row>
    <row r="427" spans="1:13" ht="15">
      <c r="A427" s="551" t="s">
        <v>1038</v>
      </c>
      <c r="B427" s="551" t="s">
        <v>440</v>
      </c>
      <c r="C427" s="552">
        <v>0</v>
      </c>
      <c r="D427" s="552">
        <v>19625</v>
      </c>
      <c r="E427" s="551" t="s">
        <v>872</v>
      </c>
      <c r="F427" s="551" t="s">
        <v>100</v>
      </c>
      <c r="G427" s="551" t="s">
        <v>1549</v>
      </c>
      <c r="H427" s="551" t="s">
        <v>100</v>
      </c>
      <c r="I427" s="551" t="s">
        <v>2035</v>
      </c>
      <c r="J427" s="551" t="s">
        <v>100</v>
      </c>
      <c r="K427" s="551" t="s">
        <v>100</v>
      </c>
      <c r="L427" s="551" t="s">
        <v>100</v>
      </c>
      <c r="M427" s="551" t="s">
        <v>100</v>
      </c>
    </row>
    <row r="428" spans="1:13" ht="15">
      <c r="A428" s="551" t="s">
        <v>1614</v>
      </c>
      <c r="B428" s="551" t="s">
        <v>1615</v>
      </c>
      <c r="C428" s="552">
        <v>22762.71</v>
      </c>
      <c r="D428" s="552">
        <v>204864.71</v>
      </c>
      <c r="E428" s="551" t="s">
        <v>872</v>
      </c>
      <c r="F428" s="551" t="s">
        <v>100</v>
      </c>
      <c r="G428" s="551" t="s">
        <v>1549</v>
      </c>
      <c r="H428" s="551" t="s">
        <v>100</v>
      </c>
      <c r="I428" s="551" t="s">
        <v>2035</v>
      </c>
      <c r="J428" s="551" t="s">
        <v>100</v>
      </c>
      <c r="K428" s="551" t="s">
        <v>100</v>
      </c>
      <c r="L428" s="551" t="s">
        <v>100</v>
      </c>
      <c r="M428" s="551" t="s">
        <v>100</v>
      </c>
    </row>
    <row r="429" spans="1:13" ht="15">
      <c r="A429" s="551" t="s">
        <v>1039</v>
      </c>
      <c r="B429" s="551" t="s">
        <v>1040</v>
      </c>
      <c r="C429" s="552">
        <v>-114998.29</v>
      </c>
      <c r="D429" s="552">
        <v>-7128756.04</v>
      </c>
      <c r="E429" s="551" t="s">
        <v>872</v>
      </c>
      <c r="F429" s="551" t="s">
        <v>100</v>
      </c>
      <c r="G429" s="551" t="s">
        <v>1550</v>
      </c>
      <c r="H429" s="551" t="s">
        <v>1041</v>
      </c>
      <c r="I429" s="551" t="s">
        <v>2035</v>
      </c>
      <c r="J429" s="551" t="s">
        <v>100</v>
      </c>
      <c r="K429" s="551" t="s">
        <v>100</v>
      </c>
      <c r="L429" s="551" t="s">
        <v>100</v>
      </c>
      <c r="M429" s="551" t="s">
        <v>100</v>
      </c>
    </row>
    <row r="430" spans="1:13" ht="15">
      <c r="A430" s="551" t="s">
        <v>1042</v>
      </c>
      <c r="B430" s="551" t="s">
        <v>1043</v>
      </c>
      <c r="C430" s="552">
        <v>0</v>
      </c>
      <c r="D430" s="552">
        <v>0</v>
      </c>
      <c r="E430" s="551" t="s">
        <v>872</v>
      </c>
      <c r="F430" s="551" t="s">
        <v>100</v>
      </c>
      <c r="G430" s="551" t="s">
        <v>1548</v>
      </c>
      <c r="H430" s="551" t="s">
        <v>100</v>
      </c>
      <c r="I430" s="551" t="s">
        <v>2035</v>
      </c>
      <c r="J430" s="551" t="s">
        <v>100</v>
      </c>
      <c r="K430" s="551" t="s">
        <v>100</v>
      </c>
      <c r="L430" s="551" t="s">
        <v>100</v>
      </c>
      <c r="M430" s="551" t="s">
        <v>100</v>
      </c>
    </row>
    <row r="431" spans="1:13" ht="15">
      <c r="A431" s="551" t="s">
        <v>1044</v>
      </c>
      <c r="B431" s="551" t="s">
        <v>1045</v>
      </c>
      <c r="C431" s="552">
        <v>0</v>
      </c>
      <c r="D431" s="552">
        <v>0</v>
      </c>
      <c r="E431" s="551" t="s">
        <v>872</v>
      </c>
      <c r="F431" s="551" t="s">
        <v>100</v>
      </c>
      <c r="G431" s="551" t="s">
        <v>1549</v>
      </c>
      <c r="H431" s="551" t="s">
        <v>100</v>
      </c>
      <c r="I431" s="551" t="s">
        <v>2035</v>
      </c>
      <c r="J431" s="551" t="s">
        <v>100</v>
      </c>
      <c r="K431" s="551" t="s">
        <v>100</v>
      </c>
      <c r="L431" s="551" t="s">
        <v>100</v>
      </c>
      <c r="M431" s="551" t="s">
        <v>100</v>
      </c>
    </row>
    <row r="432" spans="1:13" ht="15">
      <c r="A432" s="551" t="s">
        <v>1046</v>
      </c>
      <c r="B432" s="551" t="s">
        <v>1047</v>
      </c>
      <c r="C432" s="552">
        <v>0</v>
      </c>
      <c r="D432" s="552">
        <v>0</v>
      </c>
      <c r="E432" s="551" t="s">
        <v>872</v>
      </c>
      <c r="F432" s="551" t="s">
        <v>100</v>
      </c>
      <c r="G432" s="551" t="s">
        <v>1549</v>
      </c>
      <c r="H432" s="551" t="s">
        <v>100</v>
      </c>
      <c r="I432" s="551" t="s">
        <v>2035</v>
      </c>
      <c r="J432" s="551" t="s">
        <v>100</v>
      </c>
      <c r="K432" s="551" t="s">
        <v>100</v>
      </c>
      <c r="L432" s="551" t="s">
        <v>100</v>
      </c>
      <c r="M432" s="551" t="s">
        <v>100</v>
      </c>
    </row>
    <row r="433" spans="1:13" ht="15">
      <c r="A433" s="551" t="s">
        <v>1048</v>
      </c>
      <c r="B433" s="551" t="s">
        <v>1049</v>
      </c>
      <c r="C433" s="552">
        <v>0</v>
      </c>
      <c r="D433" s="552">
        <v>0</v>
      </c>
      <c r="E433" s="551" t="s">
        <v>872</v>
      </c>
      <c r="F433" s="551" t="s">
        <v>100</v>
      </c>
      <c r="G433" s="551" t="s">
        <v>1549</v>
      </c>
      <c r="H433" s="551" t="s">
        <v>100</v>
      </c>
      <c r="I433" s="551" t="s">
        <v>2035</v>
      </c>
      <c r="J433" s="551" t="s">
        <v>100</v>
      </c>
      <c r="K433" s="551" t="s">
        <v>100</v>
      </c>
      <c r="L433" s="551" t="s">
        <v>100</v>
      </c>
      <c r="M433" s="551" t="s">
        <v>100</v>
      </c>
    </row>
    <row r="434" spans="1:13" ht="15">
      <c r="A434" s="551" t="s">
        <v>1050</v>
      </c>
      <c r="B434" s="551" t="s">
        <v>1051</v>
      </c>
      <c r="C434" s="552">
        <v>0</v>
      </c>
      <c r="D434" s="552">
        <v>0</v>
      </c>
      <c r="E434" s="551" t="s">
        <v>872</v>
      </c>
      <c r="F434" s="551" t="s">
        <v>100</v>
      </c>
      <c r="G434" s="551" t="s">
        <v>1549</v>
      </c>
      <c r="H434" s="551" t="s">
        <v>100</v>
      </c>
      <c r="I434" s="551" t="s">
        <v>2035</v>
      </c>
      <c r="J434" s="551" t="s">
        <v>100</v>
      </c>
      <c r="K434" s="551" t="s">
        <v>100</v>
      </c>
      <c r="L434" s="551" t="s">
        <v>100</v>
      </c>
      <c r="M434" s="551" t="s">
        <v>100</v>
      </c>
    </row>
    <row r="435" spans="1:13" ht="15">
      <c r="A435" s="551" t="s">
        <v>1052</v>
      </c>
      <c r="B435" s="551" t="s">
        <v>2028</v>
      </c>
      <c r="C435" s="552">
        <v>-6081.25</v>
      </c>
      <c r="D435" s="552">
        <v>-36200</v>
      </c>
      <c r="E435" s="551" t="s">
        <v>872</v>
      </c>
      <c r="F435" s="551" t="s">
        <v>100</v>
      </c>
      <c r="G435" s="551" t="s">
        <v>1549</v>
      </c>
      <c r="H435" s="551" t="s">
        <v>100</v>
      </c>
      <c r="I435" s="551" t="s">
        <v>2035</v>
      </c>
      <c r="J435" s="551" t="s">
        <v>100</v>
      </c>
      <c r="K435" s="551" t="s">
        <v>100</v>
      </c>
      <c r="L435" s="551" t="s">
        <v>100</v>
      </c>
      <c r="M435" s="551" t="s">
        <v>100</v>
      </c>
    </row>
    <row r="436" spans="1:13" ht="15">
      <c r="A436" s="551" t="s">
        <v>1054</v>
      </c>
      <c r="B436" s="551" t="s">
        <v>103</v>
      </c>
      <c r="C436" s="552">
        <v>32586.85</v>
      </c>
      <c r="D436" s="552">
        <v>-4640096.88</v>
      </c>
      <c r="E436" s="551" t="s">
        <v>872</v>
      </c>
      <c r="F436" s="551" t="s">
        <v>100</v>
      </c>
      <c r="G436" s="551" t="s">
        <v>1549</v>
      </c>
      <c r="H436" s="551" t="s">
        <v>100</v>
      </c>
      <c r="I436" s="551" t="s">
        <v>2035</v>
      </c>
      <c r="J436" s="551" t="s">
        <v>100</v>
      </c>
      <c r="K436" s="551" t="s">
        <v>100</v>
      </c>
      <c r="L436" s="551" t="s">
        <v>100</v>
      </c>
      <c r="M436" s="551" t="s">
        <v>100</v>
      </c>
    </row>
    <row r="437" spans="1:13" ht="15">
      <c r="A437" s="551" t="s">
        <v>1056</v>
      </c>
      <c r="B437" s="551" t="s">
        <v>1057</v>
      </c>
      <c r="C437" s="552">
        <v>0</v>
      </c>
      <c r="D437" s="552">
        <v>0</v>
      </c>
      <c r="E437" s="551" t="s">
        <v>872</v>
      </c>
      <c r="F437" s="551" t="s">
        <v>100</v>
      </c>
      <c r="G437" s="551" t="s">
        <v>1548</v>
      </c>
      <c r="H437" s="551" t="s">
        <v>100</v>
      </c>
      <c r="I437" s="551" t="s">
        <v>2035</v>
      </c>
      <c r="J437" s="551" t="s">
        <v>100</v>
      </c>
      <c r="K437" s="551" t="s">
        <v>100</v>
      </c>
      <c r="L437" s="551" t="s">
        <v>100</v>
      </c>
      <c r="M437" s="551" t="s">
        <v>100</v>
      </c>
    </row>
    <row r="438" spans="1:13" ht="15">
      <c r="A438" s="551" t="s">
        <v>1058</v>
      </c>
      <c r="B438" s="551" t="s">
        <v>1031</v>
      </c>
      <c r="C438" s="552">
        <v>0</v>
      </c>
      <c r="D438" s="552">
        <v>-542200.19999999995</v>
      </c>
      <c r="E438" s="551" t="s">
        <v>872</v>
      </c>
      <c r="F438" s="551" t="s">
        <v>100</v>
      </c>
      <c r="G438" s="551" t="s">
        <v>1549</v>
      </c>
      <c r="H438" s="551" t="s">
        <v>100</v>
      </c>
      <c r="I438" s="551" t="s">
        <v>2035</v>
      </c>
      <c r="J438" s="551" t="s">
        <v>100</v>
      </c>
      <c r="K438" s="551" t="s">
        <v>100</v>
      </c>
      <c r="L438" s="551" t="s">
        <v>100</v>
      </c>
      <c r="M438" s="551" t="s">
        <v>100</v>
      </c>
    </row>
    <row r="439" spans="1:13" ht="15">
      <c r="A439" s="551" t="s">
        <v>1059</v>
      </c>
      <c r="B439" s="551" t="s">
        <v>1060</v>
      </c>
      <c r="C439" s="552">
        <v>0</v>
      </c>
      <c r="D439" s="552">
        <v>0</v>
      </c>
      <c r="E439" s="551" t="s">
        <v>872</v>
      </c>
      <c r="F439" s="551" t="s">
        <v>100</v>
      </c>
      <c r="G439" s="551" t="s">
        <v>1549</v>
      </c>
      <c r="H439" s="551" t="s">
        <v>100</v>
      </c>
      <c r="I439" s="551" t="s">
        <v>2035</v>
      </c>
      <c r="J439" s="551" t="s">
        <v>100</v>
      </c>
      <c r="K439" s="551" t="s">
        <v>100</v>
      </c>
      <c r="L439" s="551" t="s">
        <v>100</v>
      </c>
      <c r="M439" s="551" t="s">
        <v>100</v>
      </c>
    </row>
    <row r="440" spans="1:13" ht="15">
      <c r="A440" s="551" t="s">
        <v>1061</v>
      </c>
      <c r="B440" s="551" t="s">
        <v>1062</v>
      </c>
      <c r="C440" s="552">
        <v>0</v>
      </c>
      <c r="D440" s="552">
        <v>4870.0600000000004</v>
      </c>
      <c r="E440" s="551" t="s">
        <v>872</v>
      </c>
      <c r="F440" s="551" t="s">
        <v>100</v>
      </c>
      <c r="G440" s="551" t="s">
        <v>1549</v>
      </c>
      <c r="H440" s="551" t="s">
        <v>100</v>
      </c>
      <c r="I440" s="551" t="s">
        <v>2035</v>
      </c>
      <c r="J440" s="551" t="s">
        <v>100</v>
      </c>
      <c r="K440" s="551" t="s">
        <v>100</v>
      </c>
      <c r="L440" s="551" t="s">
        <v>100</v>
      </c>
      <c r="M440" s="551" t="s">
        <v>100</v>
      </c>
    </row>
    <row r="441" spans="1:13" ht="15">
      <c r="A441" s="551" t="s">
        <v>1063</v>
      </c>
      <c r="B441" s="551" t="s">
        <v>1064</v>
      </c>
      <c r="C441" s="552">
        <v>0</v>
      </c>
      <c r="D441" s="552">
        <v>-537330.14</v>
      </c>
      <c r="E441" s="551" t="s">
        <v>872</v>
      </c>
      <c r="F441" s="551" t="s">
        <v>100</v>
      </c>
      <c r="G441" s="551" t="s">
        <v>1550</v>
      </c>
      <c r="H441" s="551" t="s">
        <v>1065</v>
      </c>
      <c r="I441" s="551" t="s">
        <v>2035</v>
      </c>
      <c r="J441" s="551" t="s">
        <v>100</v>
      </c>
      <c r="K441" s="551" t="s">
        <v>100</v>
      </c>
      <c r="L441" s="551" t="s">
        <v>100</v>
      </c>
      <c r="M441" s="551" t="s">
        <v>100</v>
      </c>
    </row>
    <row r="442" spans="1:13" ht="15">
      <c r="A442" s="551" t="s">
        <v>1066</v>
      </c>
      <c r="B442" s="551" t="s">
        <v>1067</v>
      </c>
      <c r="C442" s="552">
        <v>26505.599999999999</v>
      </c>
      <c r="D442" s="552">
        <v>-5213627.0199999996</v>
      </c>
      <c r="E442" s="551" t="s">
        <v>872</v>
      </c>
      <c r="F442" s="551" t="s">
        <v>100</v>
      </c>
      <c r="G442" s="551" t="s">
        <v>1550</v>
      </c>
      <c r="H442" s="551" t="s">
        <v>1068</v>
      </c>
      <c r="I442" s="551" t="s">
        <v>2035</v>
      </c>
      <c r="J442" s="551" t="s">
        <v>100</v>
      </c>
      <c r="K442" s="551" t="s">
        <v>100</v>
      </c>
      <c r="L442" s="551" t="s">
        <v>100</v>
      </c>
      <c r="M442" s="551" t="s">
        <v>100</v>
      </c>
    </row>
    <row r="443" spans="1:13" ht="15">
      <c r="A443" s="551" t="s">
        <v>1069</v>
      </c>
      <c r="B443" s="551" t="s">
        <v>1070</v>
      </c>
      <c r="C443" s="552">
        <v>-88492.69</v>
      </c>
      <c r="D443" s="552">
        <v>-57566929.200000003</v>
      </c>
      <c r="E443" s="551" t="s">
        <v>872</v>
      </c>
      <c r="F443" s="551" t="s">
        <v>100</v>
      </c>
      <c r="G443" s="551" t="s">
        <v>1550</v>
      </c>
      <c r="H443" s="551" t="s">
        <v>1071</v>
      </c>
      <c r="I443" s="551" t="s">
        <v>2035</v>
      </c>
      <c r="J443" s="551" t="s">
        <v>100</v>
      </c>
      <c r="K443" s="551" t="s">
        <v>100</v>
      </c>
      <c r="L443" s="551" t="s">
        <v>100</v>
      </c>
      <c r="M443" s="551" t="s">
        <v>100</v>
      </c>
    </row>
    <row r="444" spans="1:13" ht="15">
      <c r="A444" s="551" t="s">
        <v>1072</v>
      </c>
      <c r="B444" s="551" t="s">
        <v>1073</v>
      </c>
      <c r="C444" s="552">
        <v>0</v>
      </c>
      <c r="D444" s="552">
        <v>0</v>
      </c>
      <c r="E444" s="551" t="s">
        <v>872</v>
      </c>
      <c r="F444" s="551" t="s">
        <v>100</v>
      </c>
      <c r="G444" s="551" t="s">
        <v>1548</v>
      </c>
      <c r="H444" s="551" t="s">
        <v>100</v>
      </c>
      <c r="I444" s="551" t="s">
        <v>2035</v>
      </c>
      <c r="J444" s="551" t="s">
        <v>100</v>
      </c>
      <c r="K444" s="551" t="s">
        <v>100</v>
      </c>
      <c r="L444" s="551" t="s">
        <v>100</v>
      </c>
      <c r="M444" s="551" t="s">
        <v>100</v>
      </c>
    </row>
    <row r="445" spans="1:13" ht="15">
      <c r="A445" s="551" t="s">
        <v>1074</v>
      </c>
      <c r="B445" s="551" t="s">
        <v>1075</v>
      </c>
      <c r="C445" s="552">
        <v>0</v>
      </c>
      <c r="D445" s="552">
        <v>0</v>
      </c>
      <c r="E445" s="551" t="s">
        <v>872</v>
      </c>
      <c r="F445" s="551" t="s">
        <v>100</v>
      </c>
      <c r="G445" s="551" t="s">
        <v>1549</v>
      </c>
      <c r="H445" s="551" t="s">
        <v>100</v>
      </c>
      <c r="I445" s="551" t="s">
        <v>2035</v>
      </c>
      <c r="J445" s="551" t="s">
        <v>100</v>
      </c>
      <c r="K445" s="551" t="s">
        <v>100</v>
      </c>
      <c r="L445" s="551" t="s">
        <v>100</v>
      </c>
      <c r="M445" s="551" t="s">
        <v>100</v>
      </c>
    </row>
    <row r="446" spans="1:13" ht="15">
      <c r="A446" s="551" t="s">
        <v>1076</v>
      </c>
      <c r="B446" s="551" t="s">
        <v>1077</v>
      </c>
      <c r="C446" s="552">
        <v>0</v>
      </c>
      <c r="D446" s="552">
        <v>0</v>
      </c>
      <c r="E446" s="551" t="s">
        <v>872</v>
      </c>
      <c r="F446" s="551" t="s">
        <v>100</v>
      </c>
      <c r="G446" s="551" t="s">
        <v>1549</v>
      </c>
      <c r="H446" s="551" t="s">
        <v>100</v>
      </c>
      <c r="I446" s="551" t="s">
        <v>2035</v>
      </c>
      <c r="J446" s="551" t="s">
        <v>100</v>
      </c>
      <c r="K446" s="551" t="s">
        <v>100</v>
      </c>
      <c r="L446" s="551" t="s">
        <v>100</v>
      </c>
      <c r="M446" s="551" t="s">
        <v>100</v>
      </c>
    </row>
    <row r="447" spans="1:13" ht="15">
      <c r="A447" s="551" t="s">
        <v>1078</v>
      </c>
      <c r="B447" s="551" t="s">
        <v>1079</v>
      </c>
      <c r="C447" s="552">
        <v>145450.07999999999</v>
      </c>
      <c r="D447" s="552">
        <v>-7054948.6100000003</v>
      </c>
      <c r="E447" s="551" t="s">
        <v>872</v>
      </c>
      <c r="F447" s="551" t="s">
        <v>100</v>
      </c>
      <c r="G447" s="551" t="s">
        <v>1549</v>
      </c>
      <c r="H447" s="551" t="s">
        <v>100</v>
      </c>
      <c r="I447" s="551" t="s">
        <v>2035</v>
      </c>
      <c r="J447" s="551" t="s">
        <v>100</v>
      </c>
      <c r="K447" s="551" t="s">
        <v>100</v>
      </c>
      <c r="L447" s="551" t="s">
        <v>100</v>
      </c>
      <c r="M447" s="551" t="s">
        <v>100</v>
      </c>
    </row>
    <row r="448" spans="1:13" ht="15">
      <c r="A448" s="551" t="s">
        <v>1080</v>
      </c>
      <c r="B448" s="551" t="s">
        <v>1081</v>
      </c>
      <c r="C448" s="552">
        <v>145450.07999999999</v>
      </c>
      <c r="D448" s="552">
        <v>-7054948.6100000003</v>
      </c>
      <c r="E448" s="551" t="s">
        <v>872</v>
      </c>
      <c r="F448" s="551" t="s">
        <v>100</v>
      </c>
      <c r="G448" s="551" t="s">
        <v>1550</v>
      </c>
      <c r="H448" s="551" t="s">
        <v>1082</v>
      </c>
      <c r="I448" s="551" t="s">
        <v>2035</v>
      </c>
      <c r="J448" s="551" t="s">
        <v>100</v>
      </c>
      <c r="K448" s="551" t="s">
        <v>100</v>
      </c>
      <c r="L448" s="551" t="s">
        <v>100</v>
      </c>
      <c r="M448" s="551" t="s">
        <v>100</v>
      </c>
    </row>
    <row r="449" spans="1:13" ht="15">
      <c r="A449" s="551" t="s">
        <v>1083</v>
      </c>
      <c r="B449" s="551" t="s">
        <v>1084</v>
      </c>
      <c r="C449" s="552">
        <v>0</v>
      </c>
      <c r="D449" s="552">
        <v>0</v>
      </c>
      <c r="E449" s="551" t="s">
        <v>872</v>
      </c>
      <c r="F449" s="551" t="s">
        <v>100</v>
      </c>
      <c r="G449" s="551" t="s">
        <v>1548</v>
      </c>
      <c r="H449" s="551" t="s">
        <v>100</v>
      </c>
      <c r="I449" s="551" t="s">
        <v>2035</v>
      </c>
      <c r="J449" s="551" t="s">
        <v>100</v>
      </c>
      <c r="K449" s="551" t="s">
        <v>100</v>
      </c>
      <c r="L449" s="551" t="s">
        <v>100</v>
      </c>
      <c r="M449" s="551" t="s">
        <v>100</v>
      </c>
    </row>
    <row r="450" spans="1:13" ht="15">
      <c r="A450" s="551" t="s">
        <v>1085</v>
      </c>
      <c r="B450" s="551" t="s">
        <v>1086</v>
      </c>
      <c r="C450" s="552">
        <v>0</v>
      </c>
      <c r="D450" s="552">
        <v>0</v>
      </c>
      <c r="E450" s="551" t="s">
        <v>872</v>
      </c>
      <c r="F450" s="551" t="s">
        <v>100</v>
      </c>
      <c r="G450" s="551" t="s">
        <v>1548</v>
      </c>
      <c r="H450" s="551" t="s">
        <v>100</v>
      </c>
      <c r="I450" s="551" t="s">
        <v>2035</v>
      </c>
      <c r="J450" s="551" t="s">
        <v>100</v>
      </c>
      <c r="K450" s="551" t="s">
        <v>100</v>
      </c>
      <c r="L450" s="551" t="s">
        <v>100</v>
      </c>
      <c r="M450" s="551" t="s">
        <v>100</v>
      </c>
    </row>
    <row r="451" spans="1:13" ht="15">
      <c r="A451" s="551" t="s">
        <v>1087</v>
      </c>
      <c r="B451" s="551" t="s">
        <v>1088</v>
      </c>
      <c r="C451" s="552">
        <v>0</v>
      </c>
      <c r="D451" s="552">
        <v>-582791.57999999996</v>
      </c>
      <c r="E451" s="551" t="s">
        <v>872</v>
      </c>
      <c r="F451" s="551" t="s">
        <v>100</v>
      </c>
      <c r="G451" s="551" t="s">
        <v>1549</v>
      </c>
      <c r="H451" s="551" t="s">
        <v>100</v>
      </c>
      <c r="I451" s="551" t="s">
        <v>2035</v>
      </c>
      <c r="J451" s="551" t="s">
        <v>100</v>
      </c>
      <c r="K451" s="551" t="s">
        <v>100</v>
      </c>
      <c r="L451" s="551" t="s">
        <v>100</v>
      </c>
      <c r="M451" s="551" t="s">
        <v>100</v>
      </c>
    </row>
    <row r="452" spans="1:13" ht="15">
      <c r="A452" s="551" t="s">
        <v>1089</v>
      </c>
      <c r="B452" s="551" t="s">
        <v>1090</v>
      </c>
      <c r="C452" s="552">
        <v>0</v>
      </c>
      <c r="D452" s="552">
        <v>-582791.57999999996</v>
      </c>
      <c r="E452" s="551" t="s">
        <v>872</v>
      </c>
      <c r="F452" s="551" t="s">
        <v>100</v>
      </c>
      <c r="G452" s="551" t="s">
        <v>1550</v>
      </c>
      <c r="H452" s="551" t="s">
        <v>1091</v>
      </c>
      <c r="I452" s="551" t="s">
        <v>2035</v>
      </c>
      <c r="J452" s="551" t="s">
        <v>100</v>
      </c>
      <c r="K452" s="551" t="s">
        <v>100</v>
      </c>
      <c r="L452" s="551" t="s">
        <v>100</v>
      </c>
      <c r="M452" s="551" t="s">
        <v>100</v>
      </c>
    </row>
    <row r="453" spans="1:13" ht="15">
      <c r="A453" s="551" t="s">
        <v>1092</v>
      </c>
      <c r="B453" s="551" t="s">
        <v>1093</v>
      </c>
      <c r="C453" s="552">
        <v>0</v>
      </c>
      <c r="D453" s="552">
        <v>0</v>
      </c>
      <c r="E453" s="551" t="s">
        <v>872</v>
      </c>
      <c r="F453" s="551" t="s">
        <v>100</v>
      </c>
      <c r="G453" s="551" t="s">
        <v>1548</v>
      </c>
      <c r="H453" s="551" t="s">
        <v>100</v>
      </c>
      <c r="I453" s="551" t="s">
        <v>2035</v>
      </c>
      <c r="J453" s="551" t="s">
        <v>100</v>
      </c>
      <c r="K453" s="551" t="s">
        <v>100</v>
      </c>
      <c r="L453" s="551" t="s">
        <v>100</v>
      </c>
      <c r="M453" s="551" t="s">
        <v>100</v>
      </c>
    </row>
    <row r="454" spans="1:13" ht="15">
      <c r="A454" s="551" t="s">
        <v>1094</v>
      </c>
      <c r="B454" s="551" t="s">
        <v>1095</v>
      </c>
      <c r="C454" s="552">
        <v>0</v>
      </c>
      <c r="D454" s="552">
        <v>0</v>
      </c>
      <c r="E454" s="551" t="s">
        <v>872</v>
      </c>
      <c r="F454" s="551" t="s">
        <v>100</v>
      </c>
      <c r="G454" s="551" t="s">
        <v>1548</v>
      </c>
      <c r="H454" s="551" t="s">
        <v>100</v>
      </c>
      <c r="I454" s="551" t="s">
        <v>2035</v>
      </c>
      <c r="J454" s="551" t="s">
        <v>100</v>
      </c>
      <c r="K454" s="551" t="s">
        <v>100</v>
      </c>
      <c r="L454" s="551" t="s">
        <v>100</v>
      </c>
      <c r="M454" s="551" t="s">
        <v>100</v>
      </c>
    </row>
    <row r="455" spans="1:13" ht="15">
      <c r="A455" s="551" t="s">
        <v>1096</v>
      </c>
      <c r="B455" s="551" t="s">
        <v>1097</v>
      </c>
      <c r="C455" s="552">
        <v>0</v>
      </c>
      <c r="D455" s="552">
        <v>0</v>
      </c>
      <c r="E455" s="551" t="s">
        <v>872</v>
      </c>
      <c r="F455" s="551" t="s">
        <v>100</v>
      </c>
      <c r="G455" s="551" t="s">
        <v>1549</v>
      </c>
      <c r="H455" s="551" t="s">
        <v>100</v>
      </c>
      <c r="I455" s="551" t="s">
        <v>2035</v>
      </c>
      <c r="J455" s="551" t="s">
        <v>100</v>
      </c>
      <c r="K455" s="551" t="s">
        <v>100</v>
      </c>
      <c r="L455" s="551" t="s">
        <v>100</v>
      </c>
      <c r="M455" s="551" t="s">
        <v>100</v>
      </c>
    </row>
    <row r="456" spans="1:13" ht="15">
      <c r="A456" s="551" t="s">
        <v>1098</v>
      </c>
      <c r="B456" s="551" t="s">
        <v>1099</v>
      </c>
      <c r="C456" s="552">
        <v>0</v>
      </c>
      <c r="D456" s="552">
        <v>0</v>
      </c>
      <c r="E456" s="551" t="s">
        <v>872</v>
      </c>
      <c r="F456" s="551" t="s">
        <v>100</v>
      </c>
      <c r="G456" s="551" t="s">
        <v>1549</v>
      </c>
      <c r="H456" s="551" t="s">
        <v>100</v>
      </c>
      <c r="I456" s="551" t="s">
        <v>2035</v>
      </c>
      <c r="J456" s="551" t="s">
        <v>100</v>
      </c>
      <c r="K456" s="551" t="s">
        <v>100</v>
      </c>
      <c r="L456" s="551" t="s">
        <v>100</v>
      </c>
      <c r="M456" s="551" t="s">
        <v>100</v>
      </c>
    </row>
    <row r="457" spans="1:13" ht="15">
      <c r="A457" s="551" t="s">
        <v>1100</v>
      </c>
      <c r="B457" s="551" t="s">
        <v>1101</v>
      </c>
      <c r="C457" s="552">
        <v>0</v>
      </c>
      <c r="D457" s="552">
        <v>0</v>
      </c>
      <c r="E457" s="551" t="s">
        <v>872</v>
      </c>
      <c r="F457" s="551" t="s">
        <v>100</v>
      </c>
      <c r="G457" s="551" t="s">
        <v>1550</v>
      </c>
      <c r="H457" s="551" t="s">
        <v>1102</v>
      </c>
      <c r="I457" s="551" t="s">
        <v>2035</v>
      </c>
      <c r="J457" s="551" t="s">
        <v>100</v>
      </c>
      <c r="K457" s="551" t="s">
        <v>100</v>
      </c>
      <c r="L457" s="551" t="s">
        <v>100</v>
      </c>
      <c r="M457" s="551" t="s">
        <v>100</v>
      </c>
    </row>
    <row r="458" spans="1:13" ht="15">
      <c r="A458" s="551" t="s">
        <v>1103</v>
      </c>
      <c r="B458" s="551" t="s">
        <v>1104</v>
      </c>
      <c r="C458" s="552">
        <v>0</v>
      </c>
      <c r="D458" s="552">
        <v>0</v>
      </c>
      <c r="E458" s="551" t="s">
        <v>872</v>
      </c>
      <c r="F458" s="551" t="s">
        <v>100</v>
      </c>
      <c r="G458" s="551" t="s">
        <v>1548</v>
      </c>
      <c r="H458" s="551" t="s">
        <v>100</v>
      </c>
      <c r="I458" s="551" t="s">
        <v>2035</v>
      </c>
      <c r="J458" s="551" t="s">
        <v>100</v>
      </c>
      <c r="K458" s="551" t="s">
        <v>100</v>
      </c>
      <c r="L458" s="551" t="s">
        <v>100</v>
      </c>
      <c r="M458" s="551" t="s">
        <v>100</v>
      </c>
    </row>
    <row r="459" spans="1:13" ht="15">
      <c r="A459" s="551" t="s">
        <v>1105</v>
      </c>
      <c r="B459" s="551" t="s">
        <v>155</v>
      </c>
      <c r="C459" s="552">
        <v>0</v>
      </c>
      <c r="D459" s="552">
        <v>0</v>
      </c>
      <c r="E459" s="551" t="s">
        <v>872</v>
      </c>
      <c r="F459" s="551" t="s">
        <v>100</v>
      </c>
      <c r="G459" s="551" t="s">
        <v>1548</v>
      </c>
      <c r="H459" s="551" t="s">
        <v>100</v>
      </c>
      <c r="I459" s="551" t="s">
        <v>2035</v>
      </c>
      <c r="J459" s="551" t="s">
        <v>100</v>
      </c>
      <c r="K459" s="551" t="s">
        <v>100</v>
      </c>
      <c r="L459" s="551" t="s">
        <v>100</v>
      </c>
      <c r="M459" s="551" t="s">
        <v>100</v>
      </c>
    </row>
    <row r="460" spans="1:13" ht="15">
      <c r="A460" s="551" t="s">
        <v>1106</v>
      </c>
      <c r="B460" s="551" t="s">
        <v>1107</v>
      </c>
      <c r="C460" s="552">
        <v>-10445</v>
      </c>
      <c r="D460" s="552">
        <v>-231190.37</v>
      </c>
      <c r="E460" s="551" t="s">
        <v>872</v>
      </c>
      <c r="F460" s="551" t="s">
        <v>100</v>
      </c>
      <c r="G460" s="551" t="s">
        <v>1549</v>
      </c>
      <c r="H460" s="551" t="s">
        <v>100</v>
      </c>
      <c r="I460" s="551" t="s">
        <v>2035</v>
      </c>
      <c r="J460" s="551" t="s">
        <v>100</v>
      </c>
      <c r="K460" s="551" t="s">
        <v>100</v>
      </c>
      <c r="L460" s="551" t="s">
        <v>100</v>
      </c>
      <c r="M460" s="551" t="s">
        <v>100</v>
      </c>
    </row>
    <row r="461" spans="1:13" ht="15">
      <c r="A461" s="551" t="s">
        <v>1108</v>
      </c>
      <c r="B461" s="551" t="s">
        <v>440</v>
      </c>
      <c r="C461" s="552">
        <v>0</v>
      </c>
      <c r="D461" s="552">
        <v>0</v>
      </c>
      <c r="E461" s="551" t="s">
        <v>872</v>
      </c>
      <c r="F461" s="551" t="s">
        <v>100</v>
      </c>
      <c r="G461" s="551" t="s">
        <v>1549</v>
      </c>
      <c r="H461" s="551" t="s">
        <v>100</v>
      </c>
      <c r="I461" s="551" t="s">
        <v>2035</v>
      </c>
      <c r="J461" s="551" t="s">
        <v>100</v>
      </c>
      <c r="K461" s="551" t="s">
        <v>100</v>
      </c>
      <c r="L461" s="551" t="s">
        <v>100</v>
      </c>
      <c r="M461" s="551" t="s">
        <v>100</v>
      </c>
    </row>
    <row r="462" spans="1:13" ht="15">
      <c r="A462" s="551" t="s">
        <v>1109</v>
      </c>
      <c r="B462" s="551" t="s">
        <v>1110</v>
      </c>
      <c r="C462" s="552">
        <v>0</v>
      </c>
      <c r="D462" s="552">
        <v>0</v>
      </c>
      <c r="E462" s="551" t="s">
        <v>872</v>
      </c>
      <c r="F462" s="551" t="s">
        <v>100</v>
      </c>
      <c r="G462" s="551" t="s">
        <v>1549</v>
      </c>
      <c r="H462" s="551" t="s">
        <v>100</v>
      </c>
      <c r="I462" s="551" t="s">
        <v>2035</v>
      </c>
      <c r="J462" s="551" t="s">
        <v>100</v>
      </c>
      <c r="K462" s="551" t="s">
        <v>100</v>
      </c>
      <c r="L462" s="551" t="s">
        <v>100</v>
      </c>
      <c r="M462" s="551" t="s">
        <v>100</v>
      </c>
    </row>
    <row r="463" spans="1:13" ht="15">
      <c r="A463" s="551" t="s">
        <v>1111</v>
      </c>
      <c r="B463" s="551" t="s">
        <v>481</v>
      </c>
      <c r="C463" s="552">
        <v>0</v>
      </c>
      <c r="D463" s="552">
        <v>137615</v>
      </c>
      <c r="E463" s="551" t="s">
        <v>872</v>
      </c>
      <c r="F463" s="551" t="s">
        <v>100</v>
      </c>
      <c r="G463" s="551" t="s">
        <v>1549</v>
      </c>
      <c r="H463" s="551" t="s">
        <v>100</v>
      </c>
      <c r="I463" s="551" t="s">
        <v>2035</v>
      </c>
      <c r="J463" s="551" t="s">
        <v>100</v>
      </c>
      <c r="K463" s="551" t="s">
        <v>100</v>
      </c>
      <c r="L463" s="551" t="s">
        <v>100</v>
      </c>
      <c r="M463" s="551" t="s">
        <v>100</v>
      </c>
    </row>
    <row r="464" spans="1:13" ht="15">
      <c r="A464" s="551" t="s">
        <v>1112</v>
      </c>
      <c r="B464" s="551" t="s">
        <v>278</v>
      </c>
      <c r="C464" s="552">
        <v>-10445</v>
      </c>
      <c r="D464" s="552">
        <v>-93575.37</v>
      </c>
      <c r="E464" s="551" t="s">
        <v>872</v>
      </c>
      <c r="F464" s="551" t="s">
        <v>100</v>
      </c>
      <c r="G464" s="551" t="s">
        <v>1550</v>
      </c>
      <c r="H464" s="551" t="s">
        <v>1113</v>
      </c>
      <c r="I464" s="551" t="s">
        <v>2035</v>
      </c>
      <c r="J464" s="551" t="s">
        <v>100</v>
      </c>
      <c r="K464" s="551" t="s">
        <v>100</v>
      </c>
      <c r="L464" s="551" t="s">
        <v>100</v>
      </c>
      <c r="M464" s="551" t="s">
        <v>100</v>
      </c>
    </row>
    <row r="465" spans="1:13" ht="15">
      <c r="A465" s="551" t="s">
        <v>1114</v>
      </c>
      <c r="B465" s="551" t="s">
        <v>1115</v>
      </c>
      <c r="C465" s="552">
        <v>0</v>
      </c>
      <c r="D465" s="552">
        <v>0</v>
      </c>
      <c r="E465" s="551" t="s">
        <v>872</v>
      </c>
      <c r="F465" s="551" t="s">
        <v>100</v>
      </c>
      <c r="G465" s="551" t="s">
        <v>1548</v>
      </c>
      <c r="H465" s="551" t="s">
        <v>100</v>
      </c>
      <c r="I465" s="551" t="s">
        <v>2035</v>
      </c>
      <c r="J465" s="551" t="s">
        <v>100</v>
      </c>
      <c r="K465" s="551" t="s">
        <v>100</v>
      </c>
      <c r="L465" s="551" t="s">
        <v>100</v>
      </c>
      <c r="M465" s="551" t="s">
        <v>100</v>
      </c>
    </row>
    <row r="466" spans="1:13" ht="15">
      <c r="A466" s="551" t="s">
        <v>1116</v>
      </c>
      <c r="B466" s="551" t="s">
        <v>220</v>
      </c>
      <c r="C466" s="552">
        <v>0</v>
      </c>
      <c r="D466" s="552">
        <v>0</v>
      </c>
      <c r="E466" s="551" t="s">
        <v>872</v>
      </c>
      <c r="F466" s="551" t="s">
        <v>100</v>
      </c>
      <c r="G466" s="551" t="s">
        <v>1549</v>
      </c>
      <c r="H466" s="551" t="s">
        <v>100</v>
      </c>
      <c r="I466" s="551" t="s">
        <v>2035</v>
      </c>
      <c r="J466" s="551" t="s">
        <v>100</v>
      </c>
      <c r="K466" s="551" t="s">
        <v>100</v>
      </c>
      <c r="L466" s="551" t="s">
        <v>100</v>
      </c>
      <c r="M466" s="551" t="s">
        <v>100</v>
      </c>
    </row>
    <row r="467" spans="1:13" ht="15">
      <c r="A467" s="551" t="s">
        <v>1117</v>
      </c>
      <c r="B467" s="551" t="s">
        <v>1118</v>
      </c>
      <c r="C467" s="552">
        <v>0</v>
      </c>
      <c r="D467" s="552">
        <v>0</v>
      </c>
      <c r="E467" s="551" t="s">
        <v>872</v>
      </c>
      <c r="F467" s="551" t="s">
        <v>100</v>
      </c>
      <c r="G467" s="551" t="s">
        <v>1549</v>
      </c>
      <c r="H467" s="551" t="s">
        <v>100</v>
      </c>
      <c r="I467" s="551" t="s">
        <v>2035</v>
      </c>
      <c r="J467" s="551" t="s">
        <v>100</v>
      </c>
      <c r="K467" s="551" t="s">
        <v>100</v>
      </c>
      <c r="L467" s="551" t="s">
        <v>100</v>
      </c>
      <c r="M467" s="551" t="s">
        <v>100</v>
      </c>
    </row>
    <row r="468" spans="1:13" ht="15">
      <c r="A468" s="551" t="s">
        <v>1119</v>
      </c>
      <c r="B468" s="551" t="s">
        <v>1120</v>
      </c>
      <c r="C468" s="552">
        <v>0</v>
      </c>
      <c r="D468" s="552">
        <v>0</v>
      </c>
      <c r="E468" s="551" t="s">
        <v>872</v>
      </c>
      <c r="F468" s="551" t="s">
        <v>100</v>
      </c>
      <c r="G468" s="551" t="s">
        <v>1549</v>
      </c>
      <c r="H468" s="551" t="s">
        <v>100</v>
      </c>
      <c r="I468" s="551" t="s">
        <v>2035</v>
      </c>
      <c r="J468" s="551" t="s">
        <v>100</v>
      </c>
      <c r="K468" s="551" t="s">
        <v>100</v>
      </c>
      <c r="L468" s="551" t="s">
        <v>100</v>
      </c>
      <c r="M468" s="551" t="s">
        <v>100</v>
      </c>
    </row>
    <row r="469" spans="1:13" ht="15">
      <c r="A469" s="551" t="s">
        <v>1121</v>
      </c>
      <c r="B469" s="551" t="s">
        <v>1122</v>
      </c>
      <c r="C469" s="552">
        <v>0</v>
      </c>
      <c r="D469" s="552">
        <v>0</v>
      </c>
      <c r="E469" s="551" t="s">
        <v>872</v>
      </c>
      <c r="F469" s="551" t="s">
        <v>100</v>
      </c>
      <c r="G469" s="551" t="s">
        <v>1549</v>
      </c>
      <c r="H469" s="551" t="s">
        <v>100</v>
      </c>
      <c r="I469" s="551" t="s">
        <v>2035</v>
      </c>
      <c r="J469" s="551" t="s">
        <v>100</v>
      </c>
      <c r="K469" s="551" t="s">
        <v>100</v>
      </c>
      <c r="L469" s="551" t="s">
        <v>100</v>
      </c>
      <c r="M469" s="551" t="s">
        <v>100</v>
      </c>
    </row>
    <row r="470" spans="1:13" ht="15">
      <c r="A470" s="551" t="s">
        <v>1123</v>
      </c>
      <c r="B470" s="551" t="s">
        <v>1124</v>
      </c>
      <c r="C470" s="552">
        <v>0</v>
      </c>
      <c r="D470" s="552">
        <v>0</v>
      </c>
      <c r="E470" s="551" t="s">
        <v>872</v>
      </c>
      <c r="F470" s="551" t="s">
        <v>100</v>
      </c>
      <c r="G470" s="551" t="s">
        <v>1549</v>
      </c>
      <c r="H470" s="551" t="s">
        <v>100</v>
      </c>
      <c r="I470" s="551" t="s">
        <v>2035</v>
      </c>
      <c r="J470" s="551" t="s">
        <v>100</v>
      </c>
      <c r="K470" s="551" t="s">
        <v>100</v>
      </c>
      <c r="L470" s="551" t="s">
        <v>100</v>
      </c>
      <c r="M470" s="551" t="s">
        <v>100</v>
      </c>
    </row>
    <row r="471" spans="1:13" ht="15">
      <c r="A471" s="551" t="s">
        <v>1125</v>
      </c>
      <c r="B471" s="551" t="s">
        <v>1126</v>
      </c>
      <c r="C471" s="552">
        <v>0</v>
      </c>
      <c r="D471" s="552">
        <v>0</v>
      </c>
      <c r="E471" s="551" t="s">
        <v>872</v>
      </c>
      <c r="F471" s="551" t="s">
        <v>100</v>
      </c>
      <c r="G471" s="551" t="s">
        <v>1549</v>
      </c>
      <c r="H471" s="551" t="s">
        <v>100</v>
      </c>
      <c r="I471" s="551" t="s">
        <v>2035</v>
      </c>
      <c r="J471" s="551" t="s">
        <v>100</v>
      </c>
      <c r="K471" s="551" t="s">
        <v>100</v>
      </c>
      <c r="L471" s="551" t="s">
        <v>100</v>
      </c>
      <c r="M471" s="551" t="s">
        <v>100</v>
      </c>
    </row>
    <row r="472" spans="1:13" ht="15">
      <c r="A472" s="551" t="s">
        <v>1127</v>
      </c>
      <c r="B472" s="551" t="s">
        <v>1128</v>
      </c>
      <c r="C472" s="552">
        <v>0</v>
      </c>
      <c r="D472" s="552">
        <v>0</v>
      </c>
      <c r="E472" s="551" t="s">
        <v>872</v>
      </c>
      <c r="F472" s="551" t="s">
        <v>100</v>
      </c>
      <c r="G472" s="551" t="s">
        <v>1549</v>
      </c>
      <c r="H472" s="551" t="s">
        <v>100</v>
      </c>
      <c r="I472" s="551" t="s">
        <v>2035</v>
      </c>
      <c r="J472" s="551" t="s">
        <v>100</v>
      </c>
      <c r="K472" s="551" t="s">
        <v>100</v>
      </c>
      <c r="L472" s="551" t="s">
        <v>100</v>
      </c>
      <c r="M472" s="551" t="s">
        <v>100</v>
      </c>
    </row>
    <row r="473" spans="1:13" ht="15">
      <c r="A473" s="551" t="s">
        <v>1129</v>
      </c>
      <c r="B473" s="551" t="s">
        <v>1130</v>
      </c>
      <c r="C473" s="552">
        <v>0</v>
      </c>
      <c r="D473" s="552">
        <v>0</v>
      </c>
      <c r="E473" s="551" t="s">
        <v>872</v>
      </c>
      <c r="F473" s="551" t="s">
        <v>100</v>
      </c>
      <c r="G473" s="551" t="s">
        <v>1549</v>
      </c>
      <c r="H473" s="551" t="s">
        <v>100</v>
      </c>
      <c r="I473" s="551" t="s">
        <v>2035</v>
      </c>
      <c r="J473" s="551" t="s">
        <v>100</v>
      </c>
      <c r="K473" s="551" t="s">
        <v>100</v>
      </c>
      <c r="L473" s="551" t="s">
        <v>100</v>
      </c>
      <c r="M473" s="551" t="s">
        <v>100</v>
      </c>
    </row>
    <row r="474" spans="1:13" ht="15">
      <c r="A474" s="551" t="s">
        <v>1131</v>
      </c>
      <c r="B474" s="551" t="s">
        <v>1132</v>
      </c>
      <c r="C474" s="552">
        <v>0</v>
      </c>
      <c r="D474" s="552">
        <v>0</v>
      </c>
      <c r="E474" s="551" t="s">
        <v>872</v>
      </c>
      <c r="F474" s="551" t="s">
        <v>100</v>
      </c>
      <c r="G474" s="551" t="s">
        <v>1549</v>
      </c>
      <c r="H474" s="551" t="s">
        <v>100</v>
      </c>
      <c r="I474" s="551" t="s">
        <v>2035</v>
      </c>
      <c r="J474" s="551" t="s">
        <v>100</v>
      </c>
      <c r="K474" s="551" t="s">
        <v>100</v>
      </c>
      <c r="L474" s="551" t="s">
        <v>100</v>
      </c>
      <c r="M474" s="551" t="s">
        <v>100</v>
      </c>
    </row>
    <row r="475" spans="1:13" ht="15">
      <c r="A475" s="551" t="s">
        <v>1133</v>
      </c>
      <c r="B475" s="551" t="s">
        <v>1134</v>
      </c>
      <c r="C475" s="552">
        <v>0</v>
      </c>
      <c r="D475" s="552">
        <v>0</v>
      </c>
      <c r="E475" s="551" t="s">
        <v>872</v>
      </c>
      <c r="F475" s="551" t="s">
        <v>100</v>
      </c>
      <c r="G475" s="551" t="s">
        <v>1549</v>
      </c>
      <c r="H475" s="551" t="s">
        <v>100</v>
      </c>
      <c r="I475" s="551" t="s">
        <v>2035</v>
      </c>
      <c r="J475" s="551" t="s">
        <v>100</v>
      </c>
      <c r="K475" s="551" t="s">
        <v>100</v>
      </c>
      <c r="L475" s="551" t="s">
        <v>100</v>
      </c>
      <c r="M475" s="551" t="s">
        <v>100</v>
      </c>
    </row>
    <row r="476" spans="1:13" ht="15">
      <c r="A476" s="551" t="s">
        <v>1135</v>
      </c>
      <c r="B476" s="551" t="s">
        <v>1136</v>
      </c>
      <c r="C476" s="552">
        <v>0</v>
      </c>
      <c r="D476" s="552">
        <v>0</v>
      </c>
      <c r="E476" s="551" t="s">
        <v>872</v>
      </c>
      <c r="F476" s="551" t="s">
        <v>100</v>
      </c>
      <c r="G476" s="551" t="s">
        <v>1549</v>
      </c>
      <c r="H476" s="551" t="s">
        <v>100</v>
      </c>
      <c r="I476" s="551" t="s">
        <v>2035</v>
      </c>
      <c r="J476" s="551" t="s">
        <v>100</v>
      </c>
      <c r="K476" s="551" t="s">
        <v>100</v>
      </c>
      <c r="L476" s="551" t="s">
        <v>100</v>
      </c>
      <c r="M476" s="551" t="s">
        <v>100</v>
      </c>
    </row>
    <row r="477" spans="1:13" ht="15">
      <c r="A477" s="551" t="s">
        <v>1137</v>
      </c>
      <c r="B477" s="551" t="s">
        <v>1138</v>
      </c>
      <c r="C477" s="552">
        <v>0</v>
      </c>
      <c r="D477" s="552">
        <v>0</v>
      </c>
      <c r="E477" s="551" t="s">
        <v>872</v>
      </c>
      <c r="F477" s="551" t="s">
        <v>100</v>
      </c>
      <c r="G477" s="551" t="s">
        <v>1549</v>
      </c>
      <c r="H477" s="551" t="s">
        <v>100</v>
      </c>
      <c r="I477" s="551" t="s">
        <v>2035</v>
      </c>
      <c r="J477" s="551" t="s">
        <v>100</v>
      </c>
      <c r="K477" s="551" t="s">
        <v>100</v>
      </c>
      <c r="L477" s="551" t="s">
        <v>100</v>
      </c>
      <c r="M477" s="551" t="s">
        <v>100</v>
      </c>
    </row>
    <row r="478" spans="1:13" ht="15">
      <c r="A478" s="551" t="s">
        <v>1139</v>
      </c>
      <c r="B478" s="551" t="s">
        <v>1140</v>
      </c>
      <c r="C478" s="552">
        <v>0</v>
      </c>
      <c r="D478" s="552">
        <v>0</v>
      </c>
      <c r="E478" s="551" t="s">
        <v>872</v>
      </c>
      <c r="F478" s="551" t="s">
        <v>100</v>
      </c>
      <c r="G478" s="551" t="s">
        <v>1549</v>
      </c>
      <c r="H478" s="551" t="s">
        <v>100</v>
      </c>
      <c r="I478" s="551" t="s">
        <v>2035</v>
      </c>
      <c r="J478" s="551" t="s">
        <v>100</v>
      </c>
      <c r="K478" s="551" t="s">
        <v>100</v>
      </c>
      <c r="L478" s="551" t="s">
        <v>100</v>
      </c>
      <c r="M478" s="551" t="s">
        <v>100</v>
      </c>
    </row>
    <row r="479" spans="1:13" ht="15">
      <c r="A479" s="551" t="s">
        <v>1141</v>
      </c>
      <c r="B479" s="551" t="s">
        <v>1142</v>
      </c>
      <c r="C479" s="552">
        <v>0</v>
      </c>
      <c r="D479" s="552">
        <v>0</v>
      </c>
      <c r="E479" s="551" t="s">
        <v>872</v>
      </c>
      <c r="F479" s="551" t="s">
        <v>100</v>
      </c>
      <c r="G479" s="551" t="s">
        <v>1549</v>
      </c>
      <c r="H479" s="551" t="s">
        <v>100</v>
      </c>
      <c r="I479" s="551" t="s">
        <v>2035</v>
      </c>
      <c r="J479" s="551" t="s">
        <v>100</v>
      </c>
      <c r="K479" s="551" t="s">
        <v>100</v>
      </c>
      <c r="L479" s="551" t="s">
        <v>100</v>
      </c>
      <c r="M479" s="551" t="s">
        <v>100</v>
      </c>
    </row>
    <row r="480" spans="1:13" ht="15">
      <c r="A480" s="551" t="s">
        <v>1143</v>
      </c>
      <c r="B480" s="551" t="s">
        <v>1144</v>
      </c>
      <c r="C480" s="552">
        <v>0</v>
      </c>
      <c r="D480" s="552">
        <v>0</v>
      </c>
      <c r="E480" s="551" t="s">
        <v>872</v>
      </c>
      <c r="F480" s="551" t="s">
        <v>100</v>
      </c>
      <c r="G480" s="551" t="s">
        <v>1549</v>
      </c>
      <c r="H480" s="551" t="s">
        <v>100</v>
      </c>
      <c r="I480" s="551" t="s">
        <v>2035</v>
      </c>
      <c r="J480" s="551" t="s">
        <v>100</v>
      </c>
      <c r="K480" s="551" t="s">
        <v>100</v>
      </c>
      <c r="L480" s="551" t="s">
        <v>100</v>
      </c>
      <c r="M480" s="551" t="s">
        <v>100</v>
      </c>
    </row>
    <row r="481" spans="1:13" ht="15">
      <c r="A481" s="551" t="s">
        <v>1145</v>
      </c>
      <c r="B481" s="551" t="s">
        <v>1146</v>
      </c>
      <c r="C481" s="552">
        <v>0</v>
      </c>
      <c r="D481" s="552">
        <v>0</v>
      </c>
      <c r="E481" s="551" t="s">
        <v>872</v>
      </c>
      <c r="F481" s="551" t="s">
        <v>100</v>
      </c>
      <c r="G481" s="551" t="s">
        <v>1549</v>
      </c>
      <c r="H481" s="551" t="s">
        <v>100</v>
      </c>
      <c r="I481" s="551" t="s">
        <v>2035</v>
      </c>
      <c r="J481" s="551" t="s">
        <v>100</v>
      </c>
      <c r="K481" s="551" t="s">
        <v>100</v>
      </c>
      <c r="L481" s="551" t="s">
        <v>100</v>
      </c>
      <c r="M481" s="551" t="s">
        <v>100</v>
      </c>
    </row>
    <row r="482" spans="1:13" ht="15">
      <c r="A482" s="551" t="s">
        <v>1147</v>
      </c>
      <c r="B482" s="551" t="s">
        <v>1148</v>
      </c>
      <c r="C482" s="552">
        <v>0</v>
      </c>
      <c r="D482" s="552">
        <v>0</v>
      </c>
      <c r="E482" s="551" t="s">
        <v>872</v>
      </c>
      <c r="F482" s="551" t="s">
        <v>100</v>
      </c>
      <c r="G482" s="551" t="s">
        <v>1549</v>
      </c>
      <c r="H482" s="551" t="s">
        <v>100</v>
      </c>
      <c r="I482" s="551" t="s">
        <v>2035</v>
      </c>
      <c r="J482" s="551" t="s">
        <v>100</v>
      </c>
      <c r="K482" s="551" t="s">
        <v>100</v>
      </c>
      <c r="L482" s="551" t="s">
        <v>100</v>
      </c>
      <c r="M482" s="551" t="s">
        <v>100</v>
      </c>
    </row>
    <row r="483" spans="1:13" ht="15">
      <c r="A483" s="551" t="s">
        <v>1149</v>
      </c>
      <c r="B483" s="551" t="s">
        <v>1150</v>
      </c>
      <c r="C483" s="552">
        <v>0</v>
      </c>
      <c r="D483" s="552">
        <v>0</v>
      </c>
      <c r="E483" s="551" t="s">
        <v>872</v>
      </c>
      <c r="F483" s="551" t="s">
        <v>100</v>
      </c>
      <c r="G483" s="551" t="s">
        <v>1549</v>
      </c>
      <c r="H483" s="551" t="s">
        <v>100</v>
      </c>
      <c r="I483" s="551" t="s">
        <v>2035</v>
      </c>
      <c r="J483" s="551" t="s">
        <v>100</v>
      </c>
      <c r="K483" s="551" t="s">
        <v>100</v>
      </c>
      <c r="L483" s="551" t="s">
        <v>100</v>
      </c>
      <c r="M483" s="551" t="s">
        <v>100</v>
      </c>
    </row>
    <row r="484" spans="1:13" ht="15">
      <c r="A484" s="551" t="s">
        <v>1151</v>
      </c>
      <c r="B484" s="551" t="s">
        <v>1152</v>
      </c>
      <c r="C484" s="552">
        <v>0</v>
      </c>
      <c r="D484" s="552">
        <v>0</v>
      </c>
      <c r="E484" s="551" t="s">
        <v>872</v>
      </c>
      <c r="F484" s="551" t="s">
        <v>100</v>
      </c>
      <c r="G484" s="551" t="s">
        <v>1550</v>
      </c>
      <c r="H484" s="551" t="s">
        <v>1153</v>
      </c>
      <c r="I484" s="551" t="s">
        <v>2035</v>
      </c>
      <c r="J484" s="551" t="s">
        <v>100</v>
      </c>
      <c r="K484" s="551" t="s">
        <v>100</v>
      </c>
      <c r="L484" s="551" t="s">
        <v>100</v>
      </c>
      <c r="M484" s="551" t="s">
        <v>100</v>
      </c>
    </row>
    <row r="485" spans="1:13" ht="15">
      <c r="A485" s="551" t="s">
        <v>1154</v>
      </c>
      <c r="B485" s="551" t="s">
        <v>1155</v>
      </c>
      <c r="C485" s="552">
        <v>-10445</v>
      </c>
      <c r="D485" s="552">
        <v>-93575.37</v>
      </c>
      <c r="E485" s="551" t="s">
        <v>872</v>
      </c>
      <c r="F485" s="551" t="s">
        <v>100</v>
      </c>
      <c r="G485" s="551" t="s">
        <v>1550</v>
      </c>
      <c r="H485" s="551" t="s">
        <v>1156</v>
      </c>
      <c r="I485" s="551" t="s">
        <v>2035</v>
      </c>
      <c r="J485" s="551" t="s">
        <v>100</v>
      </c>
      <c r="K485" s="551" t="s">
        <v>100</v>
      </c>
      <c r="L485" s="551" t="s">
        <v>100</v>
      </c>
      <c r="M485" s="551" t="s">
        <v>100</v>
      </c>
    </row>
    <row r="486" spans="1:13" ht="15">
      <c r="A486" s="551" t="s">
        <v>1157</v>
      </c>
      <c r="B486" s="551" t="s">
        <v>1158</v>
      </c>
      <c r="C486" s="552">
        <v>-10445</v>
      </c>
      <c r="D486" s="552">
        <v>-93575.37</v>
      </c>
      <c r="E486" s="551" t="s">
        <v>872</v>
      </c>
      <c r="F486" s="551" t="s">
        <v>100</v>
      </c>
      <c r="G486" s="551" t="s">
        <v>1550</v>
      </c>
      <c r="H486" s="551" t="s">
        <v>1159</v>
      </c>
      <c r="I486" s="551" t="s">
        <v>2035</v>
      </c>
      <c r="J486" s="551" t="s">
        <v>100</v>
      </c>
      <c r="K486" s="551" t="s">
        <v>100</v>
      </c>
      <c r="L486" s="551" t="s">
        <v>100</v>
      </c>
      <c r="M486" s="551" t="s">
        <v>100</v>
      </c>
    </row>
    <row r="487" spans="1:13" ht="15">
      <c r="A487" s="551" t="s">
        <v>1160</v>
      </c>
      <c r="B487" s="551" t="s">
        <v>1161</v>
      </c>
      <c r="C487" s="552">
        <v>0</v>
      </c>
      <c r="D487" s="552">
        <v>0</v>
      </c>
      <c r="E487" s="551" t="s">
        <v>872</v>
      </c>
      <c r="F487" s="551" t="s">
        <v>100</v>
      </c>
      <c r="G487" s="551" t="s">
        <v>1548</v>
      </c>
      <c r="H487" s="551" t="s">
        <v>100</v>
      </c>
      <c r="I487" s="551" t="s">
        <v>2035</v>
      </c>
      <c r="J487" s="551" t="s">
        <v>100</v>
      </c>
      <c r="K487" s="551" t="s">
        <v>100</v>
      </c>
      <c r="L487" s="551" t="s">
        <v>100</v>
      </c>
      <c r="M487" s="551" t="s">
        <v>100</v>
      </c>
    </row>
    <row r="488" spans="1:13" ht="15">
      <c r="A488" s="551" t="s">
        <v>1162</v>
      </c>
      <c r="B488" s="551" t="s">
        <v>1163</v>
      </c>
      <c r="C488" s="552">
        <v>26560</v>
      </c>
      <c r="D488" s="552">
        <v>0</v>
      </c>
      <c r="E488" s="551" t="s">
        <v>872</v>
      </c>
      <c r="F488" s="551" t="s">
        <v>100</v>
      </c>
      <c r="G488" s="551" t="s">
        <v>1549</v>
      </c>
      <c r="H488" s="551" t="s">
        <v>100</v>
      </c>
      <c r="I488" s="551" t="s">
        <v>2036</v>
      </c>
      <c r="J488" s="551" t="s">
        <v>2037</v>
      </c>
      <c r="K488" s="551" t="s">
        <v>1162</v>
      </c>
      <c r="L488" s="551" t="s">
        <v>100</v>
      </c>
      <c r="M488" s="551" t="s">
        <v>100</v>
      </c>
    </row>
    <row r="489" spans="1:13" ht="15">
      <c r="A489" s="551" t="s">
        <v>1164</v>
      </c>
      <c r="B489" s="551" t="s">
        <v>1165</v>
      </c>
      <c r="C489" s="552">
        <v>4470</v>
      </c>
      <c r="D489" s="552">
        <v>-510</v>
      </c>
      <c r="E489" s="551" t="s">
        <v>872</v>
      </c>
      <c r="F489" s="551" t="s">
        <v>100</v>
      </c>
      <c r="G489" s="551" t="s">
        <v>1549</v>
      </c>
      <c r="H489" s="551" t="s">
        <v>100</v>
      </c>
      <c r="I489" s="551" t="s">
        <v>2036</v>
      </c>
      <c r="J489" s="551" t="s">
        <v>2037</v>
      </c>
      <c r="K489" s="551" t="s">
        <v>1164</v>
      </c>
      <c r="L489" s="551" t="s">
        <v>100</v>
      </c>
      <c r="M489" s="551" t="s">
        <v>100</v>
      </c>
    </row>
    <row r="490" spans="1:13" ht="15">
      <c r="A490" s="551" t="s">
        <v>1166</v>
      </c>
      <c r="B490" s="551" t="s">
        <v>1167</v>
      </c>
      <c r="C490" s="552">
        <v>0</v>
      </c>
      <c r="D490" s="552">
        <v>0</v>
      </c>
      <c r="E490" s="551" t="s">
        <v>872</v>
      </c>
      <c r="F490" s="551" t="s">
        <v>100</v>
      </c>
      <c r="G490" s="551" t="s">
        <v>1549</v>
      </c>
      <c r="H490" s="551" t="s">
        <v>100</v>
      </c>
      <c r="I490" s="551" t="s">
        <v>2036</v>
      </c>
      <c r="J490" s="551" t="s">
        <v>2037</v>
      </c>
      <c r="K490" s="551" t="s">
        <v>1166</v>
      </c>
      <c r="L490" s="551" t="s">
        <v>100</v>
      </c>
      <c r="M490" s="551" t="s">
        <v>100</v>
      </c>
    </row>
    <row r="491" spans="1:13" ht="15">
      <c r="A491" s="551" t="s">
        <v>1168</v>
      </c>
      <c r="B491" s="551" t="s">
        <v>1169</v>
      </c>
      <c r="C491" s="552">
        <v>40890</v>
      </c>
      <c r="D491" s="552">
        <v>-2490</v>
      </c>
      <c r="E491" s="551" t="s">
        <v>872</v>
      </c>
      <c r="F491" s="551" t="s">
        <v>100</v>
      </c>
      <c r="G491" s="551" t="s">
        <v>1549</v>
      </c>
      <c r="H491" s="551" t="s">
        <v>100</v>
      </c>
      <c r="I491" s="551" t="s">
        <v>2036</v>
      </c>
      <c r="J491" s="551" t="s">
        <v>2037</v>
      </c>
      <c r="K491" s="551" t="s">
        <v>1168</v>
      </c>
      <c r="L491" s="551" t="s">
        <v>100</v>
      </c>
      <c r="M491" s="551" t="s">
        <v>100</v>
      </c>
    </row>
    <row r="492" spans="1:13" ht="15">
      <c r="A492" s="551" t="s">
        <v>1170</v>
      </c>
      <c r="B492" s="551" t="s">
        <v>1171</v>
      </c>
      <c r="C492" s="552">
        <v>0</v>
      </c>
      <c r="D492" s="552">
        <v>0</v>
      </c>
      <c r="E492" s="551" t="s">
        <v>872</v>
      </c>
      <c r="F492" s="551" t="s">
        <v>100</v>
      </c>
      <c r="G492" s="551" t="s">
        <v>1549</v>
      </c>
      <c r="H492" s="551" t="s">
        <v>100</v>
      </c>
      <c r="I492" s="551" t="s">
        <v>2036</v>
      </c>
      <c r="J492" s="551" t="s">
        <v>2037</v>
      </c>
      <c r="K492" s="551" t="s">
        <v>1170</v>
      </c>
      <c r="L492" s="551" t="s">
        <v>100</v>
      </c>
      <c r="M492" s="551" t="s">
        <v>100</v>
      </c>
    </row>
    <row r="493" spans="1:13" ht="15">
      <c r="A493" s="551" t="s">
        <v>1172</v>
      </c>
      <c r="B493" s="551" t="s">
        <v>1173</v>
      </c>
      <c r="C493" s="552">
        <v>16390</v>
      </c>
      <c r="D493" s="552">
        <v>-430</v>
      </c>
      <c r="E493" s="551" t="s">
        <v>872</v>
      </c>
      <c r="F493" s="551" t="s">
        <v>100</v>
      </c>
      <c r="G493" s="551" t="s">
        <v>1549</v>
      </c>
      <c r="H493" s="551" t="s">
        <v>100</v>
      </c>
      <c r="I493" s="551" t="s">
        <v>2036</v>
      </c>
      <c r="J493" s="551" t="s">
        <v>2037</v>
      </c>
      <c r="K493" s="551" t="s">
        <v>1172</v>
      </c>
      <c r="L493" s="551" t="s">
        <v>100</v>
      </c>
      <c r="M493" s="551" t="s">
        <v>100</v>
      </c>
    </row>
    <row r="494" spans="1:13" ht="15">
      <c r="A494" s="551" t="s">
        <v>1174</v>
      </c>
      <c r="B494" s="551" t="s">
        <v>1175</v>
      </c>
      <c r="C494" s="552">
        <v>19780</v>
      </c>
      <c r="D494" s="552">
        <v>0</v>
      </c>
      <c r="E494" s="551" t="s">
        <v>872</v>
      </c>
      <c r="F494" s="551" t="s">
        <v>100</v>
      </c>
      <c r="G494" s="551" t="s">
        <v>1549</v>
      </c>
      <c r="H494" s="551" t="s">
        <v>100</v>
      </c>
      <c r="I494" s="551" t="s">
        <v>2036</v>
      </c>
      <c r="J494" s="551" t="s">
        <v>2037</v>
      </c>
      <c r="K494" s="551" t="s">
        <v>1174</v>
      </c>
      <c r="L494" s="551" t="s">
        <v>100</v>
      </c>
      <c r="M494" s="551" t="s">
        <v>100</v>
      </c>
    </row>
    <row r="495" spans="1:13" ht="15">
      <c r="A495" s="551" t="s">
        <v>1176</v>
      </c>
      <c r="B495" s="551" t="s">
        <v>1177</v>
      </c>
      <c r="C495" s="552">
        <v>35910</v>
      </c>
      <c r="D495" s="552">
        <v>-5110</v>
      </c>
      <c r="E495" s="551" t="s">
        <v>872</v>
      </c>
      <c r="F495" s="551" t="s">
        <v>100</v>
      </c>
      <c r="G495" s="551" t="s">
        <v>1549</v>
      </c>
      <c r="H495" s="551" t="s">
        <v>100</v>
      </c>
      <c r="I495" s="551" t="s">
        <v>2036</v>
      </c>
      <c r="J495" s="551" t="s">
        <v>2037</v>
      </c>
      <c r="K495" s="551" t="s">
        <v>1176</v>
      </c>
      <c r="L495" s="551" t="s">
        <v>100</v>
      </c>
      <c r="M495" s="551" t="s">
        <v>100</v>
      </c>
    </row>
    <row r="496" spans="1:13" ht="15">
      <c r="A496" s="551" t="s">
        <v>1178</v>
      </c>
      <c r="B496" s="551" t="s">
        <v>1179</v>
      </c>
      <c r="C496" s="552">
        <v>0</v>
      </c>
      <c r="D496" s="552">
        <v>0</v>
      </c>
      <c r="E496" s="551" t="s">
        <v>872</v>
      </c>
      <c r="F496" s="551" t="s">
        <v>100</v>
      </c>
      <c r="G496" s="551" t="s">
        <v>1549</v>
      </c>
      <c r="H496" s="551" t="s">
        <v>100</v>
      </c>
      <c r="I496" s="551" t="s">
        <v>2036</v>
      </c>
      <c r="J496" s="551" t="s">
        <v>2037</v>
      </c>
      <c r="K496" s="551" t="s">
        <v>771</v>
      </c>
      <c r="L496" s="551" t="s">
        <v>100</v>
      </c>
      <c r="M496" s="551" t="s">
        <v>100</v>
      </c>
    </row>
    <row r="497" spans="1:13" ht="15">
      <c r="A497" s="551" t="s">
        <v>1180</v>
      </c>
      <c r="B497" s="551" t="s">
        <v>1181</v>
      </c>
      <c r="C497" s="552">
        <v>32070</v>
      </c>
      <c r="D497" s="552">
        <v>32070</v>
      </c>
      <c r="E497" s="551" t="s">
        <v>872</v>
      </c>
      <c r="F497" s="551" t="s">
        <v>100</v>
      </c>
      <c r="G497" s="551" t="s">
        <v>1549</v>
      </c>
      <c r="H497" s="551" t="s">
        <v>100</v>
      </c>
      <c r="I497" s="551" t="s">
        <v>2035</v>
      </c>
      <c r="J497" s="551" t="s">
        <v>100</v>
      </c>
      <c r="K497" s="551" t="s">
        <v>100</v>
      </c>
      <c r="L497" s="551" t="s">
        <v>100</v>
      </c>
      <c r="M497" s="551" t="s">
        <v>100</v>
      </c>
    </row>
    <row r="498" spans="1:13" ht="15">
      <c r="A498" s="551" t="s">
        <v>1182</v>
      </c>
      <c r="B498" s="551" t="s">
        <v>1183</v>
      </c>
      <c r="C498" s="552">
        <v>0</v>
      </c>
      <c r="D498" s="552">
        <v>-105930.72</v>
      </c>
      <c r="E498" s="551" t="s">
        <v>872</v>
      </c>
      <c r="F498" s="551" t="s">
        <v>100</v>
      </c>
      <c r="G498" s="551" t="s">
        <v>1549</v>
      </c>
      <c r="H498" s="551" t="s">
        <v>100</v>
      </c>
      <c r="I498" s="551" t="s">
        <v>2035</v>
      </c>
      <c r="J498" s="551" t="s">
        <v>100</v>
      </c>
      <c r="K498" s="551" t="s">
        <v>100</v>
      </c>
      <c r="L498" s="551" t="s">
        <v>100</v>
      </c>
      <c r="M498" s="551" t="s">
        <v>100</v>
      </c>
    </row>
    <row r="499" spans="1:13" ht="15">
      <c r="A499" s="551" t="s">
        <v>1184</v>
      </c>
      <c r="B499" s="551" t="s">
        <v>1185</v>
      </c>
      <c r="C499" s="552">
        <v>1093</v>
      </c>
      <c r="D499" s="552">
        <v>-23204.44</v>
      </c>
      <c r="E499" s="551" t="s">
        <v>872</v>
      </c>
      <c r="F499" s="551" t="s">
        <v>100</v>
      </c>
      <c r="G499" s="551" t="s">
        <v>1549</v>
      </c>
      <c r="H499" s="551" t="s">
        <v>100</v>
      </c>
      <c r="I499" s="551" t="s">
        <v>2035</v>
      </c>
      <c r="J499" s="551" t="s">
        <v>100</v>
      </c>
      <c r="K499" s="551" t="s">
        <v>100</v>
      </c>
      <c r="L499" s="551" t="s">
        <v>100</v>
      </c>
      <c r="M499" s="551" t="s">
        <v>100</v>
      </c>
    </row>
    <row r="500" spans="1:13" ht="15">
      <c r="A500" s="551" t="s">
        <v>1186</v>
      </c>
      <c r="B500" s="551" t="s">
        <v>1618</v>
      </c>
      <c r="C500" s="552">
        <v>2500</v>
      </c>
      <c r="D500" s="552">
        <v>4375.8599999999997</v>
      </c>
      <c r="E500" s="551" t="s">
        <v>872</v>
      </c>
      <c r="F500" s="551" t="s">
        <v>100</v>
      </c>
      <c r="G500" s="551" t="s">
        <v>1549</v>
      </c>
      <c r="H500" s="551" t="s">
        <v>100</v>
      </c>
      <c r="I500" s="551" t="s">
        <v>2038</v>
      </c>
      <c r="J500" s="551" t="s">
        <v>2037</v>
      </c>
      <c r="K500" s="551" t="s">
        <v>1186</v>
      </c>
      <c r="L500" s="551" t="s">
        <v>100</v>
      </c>
      <c r="M500" s="551" t="s">
        <v>100</v>
      </c>
    </row>
    <row r="501" spans="1:13" ht="15">
      <c r="A501" s="551" t="s">
        <v>1188</v>
      </c>
      <c r="B501" s="551" t="s">
        <v>1189</v>
      </c>
      <c r="C501" s="552">
        <v>0</v>
      </c>
      <c r="D501" s="552">
        <v>0</v>
      </c>
      <c r="E501" s="551" t="s">
        <v>872</v>
      </c>
      <c r="F501" s="551" t="s">
        <v>100</v>
      </c>
      <c r="G501" s="551" t="s">
        <v>1549</v>
      </c>
      <c r="H501" s="551" t="s">
        <v>100</v>
      </c>
      <c r="I501" s="551" t="s">
        <v>2035</v>
      </c>
      <c r="J501" s="551" t="s">
        <v>100</v>
      </c>
      <c r="K501" s="551" t="s">
        <v>100</v>
      </c>
      <c r="L501" s="551" t="s">
        <v>100</v>
      </c>
      <c r="M501" s="551" t="s">
        <v>100</v>
      </c>
    </row>
    <row r="502" spans="1:13" ht="15">
      <c r="A502" s="551" t="s">
        <v>1190</v>
      </c>
      <c r="B502" s="551" t="s">
        <v>1191</v>
      </c>
      <c r="C502" s="552">
        <v>0</v>
      </c>
      <c r="D502" s="552">
        <v>0</v>
      </c>
      <c r="E502" s="551" t="s">
        <v>872</v>
      </c>
      <c r="F502" s="551" t="s">
        <v>100</v>
      </c>
      <c r="G502" s="551" t="s">
        <v>1549</v>
      </c>
      <c r="H502" s="551" t="s">
        <v>100</v>
      </c>
      <c r="I502" s="551" t="s">
        <v>2035</v>
      </c>
      <c r="J502" s="551" t="s">
        <v>100</v>
      </c>
      <c r="K502" s="551" t="s">
        <v>100</v>
      </c>
      <c r="L502" s="551" t="s">
        <v>100</v>
      </c>
      <c r="M502" s="551" t="s">
        <v>100</v>
      </c>
    </row>
    <row r="503" spans="1:13" ht="15">
      <c r="A503" s="551" t="s">
        <v>1192</v>
      </c>
      <c r="B503" s="551" t="s">
        <v>1193</v>
      </c>
      <c r="C503" s="552">
        <v>0</v>
      </c>
      <c r="D503" s="552">
        <v>0</v>
      </c>
      <c r="E503" s="551" t="s">
        <v>872</v>
      </c>
      <c r="F503" s="551" t="s">
        <v>100</v>
      </c>
      <c r="G503" s="551" t="s">
        <v>1549</v>
      </c>
      <c r="H503" s="551" t="s">
        <v>100</v>
      </c>
      <c r="I503" s="551" t="s">
        <v>2035</v>
      </c>
      <c r="J503" s="551" t="s">
        <v>100</v>
      </c>
      <c r="K503" s="551" t="s">
        <v>100</v>
      </c>
      <c r="L503" s="551" t="s">
        <v>100</v>
      </c>
      <c r="M503" s="551" t="s">
        <v>100</v>
      </c>
    </row>
    <row r="504" spans="1:13" ht="15">
      <c r="A504" s="551" t="s">
        <v>1194</v>
      </c>
      <c r="B504" s="551" t="s">
        <v>1195</v>
      </c>
      <c r="C504" s="552">
        <v>0</v>
      </c>
      <c r="D504" s="552">
        <v>-1127.18</v>
      </c>
      <c r="E504" s="551" t="s">
        <v>872</v>
      </c>
      <c r="F504" s="551" t="s">
        <v>100</v>
      </c>
      <c r="G504" s="551" t="s">
        <v>1549</v>
      </c>
      <c r="H504" s="551" t="s">
        <v>100</v>
      </c>
      <c r="I504" s="551" t="s">
        <v>2035</v>
      </c>
      <c r="J504" s="551" t="s">
        <v>100</v>
      </c>
      <c r="K504" s="551" t="s">
        <v>100</v>
      </c>
      <c r="L504" s="551" t="s">
        <v>100</v>
      </c>
      <c r="M504" s="551" t="s">
        <v>100</v>
      </c>
    </row>
    <row r="505" spans="1:13" ht="15">
      <c r="A505" s="551" t="s">
        <v>1196</v>
      </c>
      <c r="B505" s="551" t="s">
        <v>1197</v>
      </c>
      <c r="C505" s="552">
        <v>0</v>
      </c>
      <c r="D505" s="552">
        <v>0</v>
      </c>
      <c r="E505" s="551" t="s">
        <v>872</v>
      </c>
      <c r="F505" s="551" t="s">
        <v>100</v>
      </c>
      <c r="G505" s="551" t="s">
        <v>1549</v>
      </c>
      <c r="H505" s="551" t="s">
        <v>100</v>
      </c>
      <c r="I505" s="551" t="s">
        <v>2035</v>
      </c>
      <c r="J505" s="551" t="s">
        <v>100</v>
      </c>
      <c r="K505" s="551" t="s">
        <v>100</v>
      </c>
      <c r="L505" s="551" t="s">
        <v>100</v>
      </c>
      <c r="M505" s="551" t="s">
        <v>100</v>
      </c>
    </row>
    <row r="506" spans="1:13" ht="15">
      <c r="A506" s="551" t="s">
        <v>1198</v>
      </c>
      <c r="B506" s="551" t="s">
        <v>1199</v>
      </c>
      <c r="C506" s="552">
        <v>0</v>
      </c>
      <c r="D506" s="552">
        <v>-78145.119999999995</v>
      </c>
      <c r="E506" s="551" t="s">
        <v>872</v>
      </c>
      <c r="F506" s="551" t="s">
        <v>100</v>
      </c>
      <c r="G506" s="551" t="s">
        <v>1549</v>
      </c>
      <c r="H506" s="551" t="s">
        <v>100</v>
      </c>
      <c r="I506" s="551" t="s">
        <v>2035</v>
      </c>
      <c r="J506" s="551" t="s">
        <v>100</v>
      </c>
      <c r="K506" s="551" t="s">
        <v>100</v>
      </c>
      <c r="L506" s="551" t="s">
        <v>100</v>
      </c>
      <c r="M506" s="551" t="s">
        <v>100</v>
      </c>
    </row>
    <row r="507" spans="1:13" ht="15">
      <c r="A507" s="551" t="s">
        <v>1200</v>
      </c>
      <c r="B507" s="551" t="s">
        <v>1201</v>
      </c>
      <c r="C507" s="552">
        <v>179663</v>
      </c>
      <c r="D507" s="552">
        <v>-180501.6</v>
      </c>
      <c r="E507" s="551" t="s">
        <v>872</v>
      </c>
      <c r="F507" s="551" t="s">
        <v>100</v>
      </c>
      <c r="G507" s="551" t="s">
        <v>1550</v>
      </c>
      <c r="H507" s="551" t="s">
        <v>1202</v>
      </c>
      <c r="I507" s="551" t="s">
        <v>2035</v>
      </c>
      <c r="J507" s="551" t="s">
        <v>100</v>
      </c>
      <c r="K507" s="551" t="s">
        <v>100</v>
      </c>
      <c r="L507" s="551" t="s">
        <v>100</v>
      </c>
      <c r="M507" s="551" t="s">
        <v>100</v>
      </c>
    </row>
    <row r="508" spans="1:13" ht="15">
      <c r="A508" s="551" t="s">
        <v>1203</v>
      </c>
      <c r="B508" s="551" t="s">
        <v>1204</v>
      </c>
      <c r="C508" s="552">
        <v>0</v>
      </c>
      <c r="D508" s="552">
        <v>0</v>
      </c>
      <c r="E508" s="551" t="s">
        <v>872</v>
      </c>
      <c r="F508" s="551" t="s">
        <v>100</v>
      </c>
      <c r="G508" s="551" t="s">
        <v>1548</v>
      </c>
      <c r="H508" s="551" t="s">
        <v>100</v>
      </c>
      <c r="I508" s="551" t="s">
        <v>2035</v>
      </c>
      <c r="J508" s="551" t="s">
        <v>100</v>
      </c>
      <c r="K508" s="551" t="s">
        <v>100</v>
      </c>
      <c r="L508" s="551" t="s">
        <v>100</v>
      </c>
      <c r="M508" s="551" t="s">
        <v>100</v>
      </c>
    </row>
    <row r="509" spans="1:13" ht="15">
      <c r="A509" s="551" t="s">
        <v>1205</v>
      </c>
      <c r="B509" s="551" t="s">
        <v>1206</v>
      </c>
      <c r="C509" s="552">
        <v>-4405.09</v>
      </c>
      <c r="D509" s="552">
        <v>-72791.64</v>
      </c>
      <c r="E509" s="551" t="s">
        <v>872</v>
      </c>
      <c r="F509" s="551" t="s">
        <v>100</v>
      </c>
      <c r="G509" s="551" t="s">
        <v>1549</v>
      </c>
      <c r="H509" s="551" t="s">
        <v>100</v>
      </c>
      <c r="I509" s="551" t="s">
        <v>2035</v>
      </c>
      <c r="J509" s="551" t="s">
        <v>100</v>
      </c>
      <c r="K509" s="551" t="s">
        <v>100</v>
      </c>
      <c r="L509" s="551" t="s">
        <v>100</v>
      </c>
      <c r="M509" s="551" t="s">
        <v>100</v>
      </c>
    </row>
    <row r="510" spans="1:13" ht="15">
      <c r="A510" s="551" t="s">
        <v>1207</v>
      </c>
      <c r="B510" s="551" t="s">
        <v>1208</v>
      </c>
      <c r="C510" s="552">
        <v>-4405.09</v>
      </c>
      <c r="D510" s="552">
        <v>-72791.64</v>
      </c>
      <c r="E510" s="551" t="s">
        <v>872</v>
      </c>
      <c r="F510" s="551" t="s">
        <v>100</v>
      </c>
      <c r="G510" s="551" t="s">
        <v>1550</v>
      </c>
      <c r="H510" s="551" t="s">
        <v>1209</v>
      </c>
      <c r="I510" s="551" t="s">
        <v>2035</v>
      </c>
      <c r="J510" s="551" t="s">
        <v>100</v>
      </c>
      <c r="K510" s="551" t="s">
        <v>100</v>
      </c>
      <c r="L510" s="551" t="s">
        <v>100</v>
      </c>
      <c r="M510" s="551" t="s">
        <v>100</v>
      </c>
    </row>
    <row r="511" spans="1:13" ht="15">
      <c r="A511" s="551" t="s">
        <v>1210</v>
      </c>
      <c r="B511" s="551" t="s">
        <v>1211</v>
      </c>
      <c r="C511" s="552">
        <v>0</v>
      </c>
      <c r="D511" s="552">
        <v>0</v>
      </c>
      <c r="E511" s="551" t="s">
        <v>872</v>
      </c>
      <c r="F511" s="551" t="s">
        <v>100</v>
      </c>
      <c r="G511" s="551" t="s">
        <v>1548</v>
      </c>
      <c r="H511" s="551" t="s">
        <v>100</v>
      </c>
      <c r="I511" s="551" t="s">
        <v>2035</v>
      </c>
      <c r="J511" s="551" t="s">
        <v>100</v>
      </c>
      <c r="K511" s="551" t="s">
        <v>100</v>
      </c>
      <c r="L511" s="551" t="s">
        <v>100</v>
      </c>
      <c r="M511" s="551" t="s">
        <v>100</v>
      </c>
    </row>
    <row r="512" spans="1:13" ht="15">
      <c r="A512" s="551" t="s">
        <v>1212</v>
      </c>
      <c r="B512" s="551" t="s">
        <v>1622</v>
      </c>
      <c r="C512" s="552">
        <v>0</v>
      </c>
      <c r="D512" s="552">
        <v>0</v>
      </c>
      <c r="E512" s="551" t="s">
        <v>872</v>
      </c>
      <c r="F512" s="551" t="s">
        <v>100</v>
      </c>
      <c r="G512" s="551" t="s">
        <v>1549</v>
      </c>
      <c r="H512" s="551" t="s">
        <v>100</v>
      </c>
      <c r="I512" s="551" t="s">
        <v>2035</v>
      </c>
      <c r="J512" s="551" t="s">
        <v>100</v>
      </c>
      <c r="K512" s="551" t="s">
        <v>100</v>
      </c>
      <c r="L512" s="551" t="s">
        <v>100</v>
      </c>
      <c r="M512" s="551" t="s">
        <v>100</v>
      </c>
    </row>
    <row r="513" spans="1:13" ht="15">
      <c r="A513" s="551" t="s">
        <v>1214</v>
      </c>
      <c r="B513" s="551" t="s">
        <v>1623</v>
      </c>
      <c r="C513" s="552">
        <v>0</v>
      </c>
      <c r="D513" s="552">
        <v>0</v>
      </c>
      <c r="E513" s="551" t="s">
        <v>872</v>
      </c>
      <c r="F513" s="551" t="s">
        <v>100</v>
      </c>
      <c r="G513" s="551" t="s">
        <v>1549</v>
      </c>
      <c r="H513" s="551" t="s">
        <v>100</v>
      </c>
      <c r="I513" s="551" t="s">
        <v>2035</v>
      </c>
      <c r="J513" s="551" t="s">
        <v>100</v>
      </c>
      <c r="K513" s="551" t="s">
        <v>100</v>
      </c>
      <c r="L513" s="551" t="s">
        <v>100</v>
      </c>
      <c r="M513" s="551" t="s">
        <v>100</v>
      </c>
    </row>
    <row r="514" spans="1:13" ht="15">
      <c r="A514" s="551" t="s">
        <v>1216</v>
      </c>
      <c r="B514" s="551" t="s">
        <v>1217</v>
      </c>
      <c r="C514" s="552">
        <v>30073.99</v>
      </c>
      <c r="D514" s="552">
        <v>29958.66</v>
      </c>
      <c r="E514" s="551" t="s">
        <v>872</v>
      </c>
      <c r="F514" s="551" t="s">
        <v>100</v>
      </c>
      <c r="G514" s="551" t="s">
        <v>1549</v>
      </c>
      <c r="H514" s="551" t="s">
        <v>100</v>
      </c>
      <c r="I514" s="551" t="s">
        <v>2038</v>
      </c>
      <c r="J514" s="551" t="s">
        <v>2037</v>
      </c>
      <c r="K514" s="551" t="s">
        <v>287</v>
      </c>
      <c r="L514" s="551" t="s">
        <v>100</v>
      </c>
      <c r="M514" s="551" t="s">
        <v>100</v>
      </c>
    </row>
    <row r="515" spans="1:13" ht="15">
      <c r="A515" s="551" t="s">
        <v>1218</v>
      </c>
      <c r="B515" s="551" t="s">
        <v>1219</v>
      </c>
      <c r="C515" s="552">
        <v>757.2</v>
      </c>
      <c r="D515" s="552">
        <v>-25844.97</v>
      </c>
      <c r="E515" s="551" t="s">
        <v>872</v>
      </c>
      <c r="F515" s="551" t="s">
        <v>100</v>
      </c>
      <c r="G515" s="551" t="s">
        <v>1549</v>
      </c>
      <c r="H515" s="551" t="s">
        <v>100</v>
      </c>
      <c r="I515" s="551" t="s">
        <v>2035</v>
      </c>
      <c r="J515" s="551" t="s">
        <v>100</v>
      </c>
      <c r="K515" s="551" t="s">
        <v>100</v>
      </c>
      <c r="L515" s="551" t="s">
        <v>100</v>
      </c>
      <c r="M515" s="551" t="s">
        <v>100</v>
      </c>
    </row>
    <row r="516" spans="1:13" ht="15">
      <c r="A516" s="551" t="s">
        <v>1220</v>
      </c>
      <c r="B516" s="551" t="s">
        <v>1221</v>
      </c>
      <c r="C516" s="552">
        <v>708.49</v>
      </c>
      <c r="D516" s="552">
        <v>0</v>
      </c>
      <c r="E516" s="551" t="s">
        <v>872</v>
      </c>
      <c r="F516" s="551" t="s">
        <v>100</v>
      </c>
      <c r="G516" s="551" t="s">
        <v>1549</v>
      </c>
      <c r="H516" s="551" t="s">
        <v>100</v>
      </c>
      <c r="I516" s="551" t="s">
        <v>2035</v>
      </c>
      <c r="J516" s="551" t="s">
        <v>100</v>
      </c>
      <c r="K516" s="551" t="s">
        <v>100</v>
      </c>
      <c r="L516" s="551" t="s">
        <v>100</v>
      </c>
      <c r="M516" s="551" t="s">
        <v>100</v>
      </c>
    </row>
    <row r="517" spans="1:13" ht="15">
      <c r="A517" s="551" t="s">
        <v>1222</v>
      </c>
      <c r="B517" s="551" t="s">
        <v>1223</v>
      </c>
      <c r="C517" s="552">
        <v>0</v>
      </c>
      <c r="D517" s="552">
        <v>0</v>
      </c>
      <c r="E517" s="551" t="s">
        <v>872</v>
      </c>
      <c r="F517" s="551" t="s">
        <v>100</v>
      </c>
      <c r="G517" s="551" t="s">
        <v>1549</v>
      </c>
      <c r="H517" s="551" t="s">
        <v>100</v>
      </c>
      <c r="I517" s="551" t="s">
        <v>2035</v>
      </c>
      <c r="J517" s="551" t="s">
        <v>100</v>
      </c>
      <c r="K517" s="551" t="s">
        <v>100</v>
      </c>
      <c r="L517" s="551" t="s">
        <v>100</v>
      </c>
      <c r="M517" s="551" t="s">
        <v>100</v>
      </c>
    </row>
    <row r="518" spans="1:13" ht="15">
      <c r="A518" s="551" t="s">
        <v>1224</v>
      </c>
      <c r="B518" s="551" t="s">
        <v>1624</v>
      </c>
      <c r="C518" s="552">
        <v>0</v>
      </c>
      <c r="D518" s="552">
        <v>0</v>
      </c>
      <c r="E518" s="551" t="s">
        <v>872</v>
      </c>
      <c r="F518" s="551" t="s">
        <v>100</v>
      </c>
      <c r="G518" s="551" t="s">
        <v>1549</v>
      </c>
      <c r="H518" s="551" t="s">
        <v>100</v>
      </c>
      <c r="I518" s="551" t="s">
        <v>2035</v>
      </c>
      <c r="J518" s="551" t="s">
        <v>100</v>
      </c>
      <c r="K518" s="551" t="s">
        <v>100</v>
      </c>
      <c r="L518" s="551" t="s">
        <v>100</v>
      </c>
      <c r="M518" s="551" t="s">
        <v>100</v>
      </c>
    </row>
    <row r="519" spans="1:13" ht="15">
      <c r="A519" s="551" t="s">
        <v>1226</v>
      </c>
      <c r="B519" s="551" t="s">
        <v>1225</v>
      </c>
      <c r="C519" s="552">
        <v>-1280</v>
      </c>
      <c r="D519" s="552">
        <v>0</v>
      </c>
      <c r="E519" s="551" t="s">
        <v>872</v>
      </c>
      <c r="F519" s="551" t="s">
        <v>100</v>
      </c>
      <c r="G519" s="551" t="s">
        <v>1549</v>
      </c>
      <c r="H519" s="551" t="s">
        <v>100</v>
      </c>
      <c r="I519" s="551" t="s">
        <v>2038</v>
      </c>
      <c r="J519" s="551" t="s">
        <v>2037</v>
      </c>
      <c r="K519" s="551" t="s">
        <v>1226</v>
      </c>
      <c r="L519" s="551" t="s">
        <v>100</v>
      </c>
      <c r="M519" s="551" t="s">
        <v>100</v>
      </c>
    </row>
    <row r="520" spans="1:13" ht="15">
      <c r="A520" s="551" t="s">
        <v>1228</v>
      </c>
      <c r="B520" s="551" t="s">
        <v>1229</v>
      </c>
      <c r="C520" s="552">
        <v>30259.68</v>
      </c>
      <c r="D520" s="552">
        <v>4113.6899999999996</v>
      </c>
      <c r="E520" s="551" t="s">
        <v>872</v>
      </c>
      <c r="F520" s="551" t="s">
        <v>100</v>
      </c>
      <c r="G520" s="551" t="s">
        <v>1550</v>
      </c>
      <c r="H520" s="551" t="s">
        <v>1230</v>
      </c>
      <c r="I520" s="551" t="s">
        <v>2035</v>
      </c>
      <c r="J520" s="551" t="s">
        <v>100</v>
      </c>
      <c r="K520" s="551" t="s">
        <v>100</v>
      </c>
      <c r="L520" s="551" t="s">
        <v>100</v>
      </c>
      <c r="M520" s="551" t="s">
        <v>100</v>
      </c>
    </row>
    <row r="521" spans="1:13" ht="15">
      <c r="A521" s="551" t="s">
        <v>1231</v>
      </c>
      <c r="B521" s="551" t="s">
        <v>1232</v>
      </c>
      <c r="C521" s="552">
        <v>0</v>
      </c>
      <c r="D521" s="552">
        <v>0</v>
      </c>
      <c r="E521" s="551" t="s">
        <v>872</v>
      </c>
      <c r="F521" s="551" t="s">
        <v>100</v>
      </c>
      <c r="G521" s="551" t="s">
        <v>1548</v>
      </c>
      <c r="H521" s="551" t="s">
        <v>100</v>
      </c>
      <c r="I521" s="551" t="s">
        <v>2035</v>
      </c>
      <c r="J521" s="551" t="s">
        <v>100</v>
      </c>
      <c r="K521" s="551" t="s">
        <v>100</v>
      </c>
      <c r="L521" s="551" t="s">
        <v>100</v>
      </c>
      <c r="M521" s="551" t="s">
        <v>100</v>
      </c>
    </row>
    <row r="522" spans="1:13" ht="15">
      <c r="A522" s="551" t="s">
        <v>1233</v>
      </c>
      <c r="B522" s="551" t="s">
        <v>1234</v>
      </c>
      <c r="C522" s="552">
        <v>0</v>
      </c>
      <c r="D522" s="552">
        <v>-3223.65</v>
      </c>
      <c r="E522" s="551" t="s">
        <v>872</v>
      </c>
      <c r="F522" s="551" t="s">
        <v>100</v>
      </c>
      <c r="G522" s="551" t="s">
        <v>1549</v>
      </c>
      <c r="H522" s="551" t="s">
        <v>100</v>
      </c>
      <c r="I522" s="551" t="s">
        <v>2035</v>
      </c>
      <c r="J522" s="551" t="s">
        <v>100</v>
      </c>
      <c r="K522" s="551" t="s">
        <v>100</v>
      </c>
      <c r="L522" s="551" t="s">
        <v>100</v>
      </c>
      <c r="M522" s="551" t="s">
        <v>100</v>
      </c>
    </row>
    <row r="523" spans="1:13" ht="15">
      <c r="A523" s="551" t="s">
        <v>1235</v>
      </c>
      <c r="B523" s="551" t="s">
        <v>1236</v>
      </c>
      <c r="C523" s="552">
        <v>0</v>
      </c>
      <c r="D523" s="552">
        <v>0</v>
      </c>
      <c r="E523" s="551" t="s">
        <v>872</v>
      </c>
      <c r="F523" s="551" t="s">
        <v>100</v>
      </c>
      <c r="G523" s="551" t="s">
        <v>1549</v>
      </c>
      <c r="H523" s="551" t="s">
        <v>100</v>
      </c>
      <c r="I523" s="551" t="s">
        <v>2035</v>
      </c>
      <c r="J523" s="551" t="s">
        <v>100</v>
      </c>
      <c r="K523" s="551" t="s">
        <v>100</v>
      </c>
      <c r="L523" s="551" t="s">
        <v>100</v>
      </c>
      <c r="M523" s="551" t="s">
        <v>100</v>
      </c>
    </row>
    <row r="524" spans="1:13" ht="15">
      <c r="A524" s="551" t="s">
        <v>1237</v>
      </c>
      <c r="B524" s="551" t="s">
        <v>1238</v>
      </c>
      <c r="C524" s="552">
        <v>-175</v>
      </c>
      <c r="D524" s="552">
        <v>0</v>
      </c>
      <c r="E524" s="551" t="s">
        <v>872</v>
      </c>
      <c r="F524" s="551" t="s">
        <v>100</v>
      </c>
      <c r="G524" s="551" t="s">
        <v>1549</v>
      </c>
      <c r="H524" s="551" t="s">
        <v>100</v>
      </c>
      <c r="I524" s="551" t="s">
        <v>2035</v>
      </c>
      <c r="J524" s="551" t="s">
        <v>100</v>
      </c>
      <c r="K524" s="551" t="s">
        <v>100</v>
      </c>
      <c r="L524" s="551" t="s">
        <v>100</v>
      </c>
      <c r="M524" s="551" t="s">
        <v>100</v>
      </c>
    </row>
    <row r="525" spans="1:13" ht="15">
      <c r="A525" s="551" t="s">
        <v>1239</v>
      </c>
      <c r="B525" s="551" t="s">
        <v>1240</v>
      </c>
      <c r="C525" s="552">
        <v>579100.01</v>
      </c>
      <c r="D525" s="552">
        <v>-19600</v>
      </c>
      <c r="E525" s="551" t="s">
        <v>872</v>
      </c>
      <c r="F525" s="551" t="s">
        <v>100</v>
      </c>
      <c r="G525" s="551" t="s">
        <v>1549</v>
      </c>
      <c r="H525" s="551" t="s">
        <v>100</v>
      </c>
      <c r="I525" s="551" t="s">
        <v>2038</v>
      </c>
      <c r="J525" s="551" t="s">
        <v>2037</v>
      </c>
      <c r="K525" s="551" t="s">
        <v>1239</v>
      </c>
      <c r="L525" s="551" t="s">
        <v>100</v>
      </c>
      <c r="M525" s="551" t="s">
        <v>100</v>
      </c>
    </row>
    <row r="526" spans="1:13" ht="15">
      <c r="A526" s="551" t="s">
        <v>1241</v>
      </c>
      <c r="B526" s="551" t="s">
        <v>1242</v>
      </c>
      <c r="C526" s="552">
        <v>0</v>
      </c>
      <c r="D526" s="552">
        <v>0</v>
      </c>
      <c r="E526" s="551" t="s">
        <v>872</v>
      </c>
      <c r="F526" s="551" t="s">
        <v>100</v>
      </c>
      <c r="G526" s="551" t="s">
        <v>1549</v>
      </c>
      <c r="H526" s="551" t="s">
        <v>100</v>
      </c>
      <c r="I526" s="551" t="s">
        <v>2035</v>
      </c>
      <c r="J526" s="551" t="s">
        <v>100</v>
      </c>
      <c r="K526" s="551" t="s">
        <v>100</v>
      </c>
      <c r="L526" s="551" t="s">
        <v>100</v>
      </c>
      <c r="M526" s="551" t="s">
        <v>100</v>
      </c>
    </row>
    <row r="527" spans="1:13" ht="15">
      <c r="A527" s="551" t="s">
        <v>1243</v>
      </c>
      <c r="B527" s="551" t="s">
        <v>1244</v>
      </c>
      <c r="C527" s="552">
        <v>0</v>
      </c>
      <c r="D527" s="552">
        <v>0</v>
      </c>
      <c r="E527" s="551" t="s">
        <v>872</v>
      </c>
      <c r="F527" s="551" t="s">
        <v>100</v>
      </c>
      <c r="G527" s="551" t="s">
        <v>1549</v>
      </c>
      <c r="H527" s="551" t="s">
        <v>100</v>
      </c>
      <c r="I527" s="551" t="s">
        <v>2035</v>
      </c>
      <c r="J527" s="551" t="s">
        <v>100</v>
      </c>
      <c r="K527" s="551" t="s">
        <v>100</v>
      </c>
      <c r="L527" s="551" t="s">
        <v>100</v>
      </c>
      <c r="M527" s="551" t="s">
        <v>100</v>
      </c>
    </row>
    <row r="528" spans="1:13" ht="15">
      <c r="A528" s="551" t="s">
        <v>1245</v>
      </c>
      <c r="B528" s="551" t="s">
        <v>1246</v>
      </c>
      <c r="C528" s="552">
        <v>243583.28</v>
      </c>
      <c r="D528" s="552">
        <v>-56675</v>
      </c>
      <c r="E528" s="551" t="s">
        <v>872</v>
      </c>
      <c r="F528" s="551" t="s">
        <v>100</v>
      </c>
      <c r="G528" s="551" t="s">
        <v>1549</v>
      </c>
      <c r="H528" s="551" t="s">
        <v>100</v>
      </c>
      <c r="I528" s="551" t="s">
        <v>2038</v>
      </c>
      <c r="J528" s="551" t="s">
        <v>2037</v>
      </c>
      <c r="K528" s="551" t="s">
        <v>1245</v>
      </c>
      <c r="L528" s="551" t="s">
        <v>100</v>
      </c>
      <c r="M528" s="551" t="s">
        <v>100</v>
      </c>
    </row>
    <row r="529" spans="1:13" ht="15">
      <c r="A529" s="551" t="s">
        <v>1247</v>
      </c>
      <c r="B529" s="551" t="s">
        <v>1248</v>
      </c>
      <c r="C529" s="552">
        <v>0</v>
      </c>
      <c r="D529" s="552">
        <v>0</v>
      </c>
      <c r="E529" s="551" t="s">
        <v>872</v>
      </c>
      <c r="F529" s="551" t="s">
        <v>100</v>
      </c>
      <c r="G529" s="551" t="s">
        <v>1549</v>
      </c>
      <c r="H529" s="551" t="s">
        <v>100</v>
      </c>
      <c r="I529" s="551" t="s">
        <v>2035</v>
      </c>
      <c r="J529" s="551" t="s">
        <v>100</v>
      </c>
      <c r="K529" s="551" t="s">
        <v>100</v>
      </c>
      <c r="L529" s="551" t="s">
        <v>100</v>
      </c>
      <c r="M529" s="551" t="s">
        <v>100</v>
      </c>
    </row>
    <row r="530" spans="1:13" ht="15">
      <c r="A530" s="551" t="s">
        <v>1249</v>
      </c>
      <c r="B530" s="551" t="s">
        <v>1250</v>
      </c>
      <c r="C530" s="552">
        <v>822508.29</v>
      </c>
      <c r="D530" s="552">
        <v>-79498.649999999994</v>
      </c>
      <c r="E530" s="551" t="s">
        <v>872</v>
      </c>
      <c r="F530" s="551" t="s">
        <v>100</v>
      </c>
      <c r="G530" s="551" t="s">
        <v>1550</v>
      </c>
      <c r="H530" s="551" t="s">
        <v>1251</v>
      </c>
      <c r="I530" s="551" t="s">
        <v>2035</v>
      </c>
      <c r="J530" s="551" t="s">
        <v>100</v>
      </c>
      <c r="K530" s="551" t="s">
        <v>100</v>
      </c>
      <c r="L530" s="551" t="s">
        <v>100</v>
      </c>
      <c r="M530" s="551" t="s">
        <v>100</v>
      </c>
    </row>
    <row r="531" spans="1:13" ht="15">
      <c r="A531" s="551" t="s">
        <v>1252</v>
      </c>
      <c r="B531" s="551" t="s">
        <v>1253</v>
      </c>
      <c r="C531" s="552">
        <v>0</v>
      </c>
      <c r="D531" s="552">
        <v>0</v>
      </c>
      <c r="E531" s="551" t="s">
        <v>872</v>
      </c>
      <c r="F531" s="551" t="s">
        <v>100</v>
      </c>
      <c r="G531" s="551" t="s">
        <v>1548</v>
      </c>
      <c r="H531" s="551" t="s">
        <v>100</v>
      </c>
      <c r="I531" s="551" t="s">
        <v>2035</v>
      </c>
      <c r="J531" s="551" t="s">
        <v>100</v>
      </c>
      <c r="K531" s="551" t="s">
        <v>100</v>
      </c>
      <c r="L531" s="551" t="s">
        <v>100</v>
      </c>
      <c r="M531" s="551" t="s">
        <v>100</v>
      </c>
    </row>
    <row r="532" spans="1:13" ht="15">
      <c r="A532" s="551" t="s">
        <v>1254</v>
      </c>
      <c r="B532" s="551" t="s">
        <v>155</v>
      </c>
      <c r="C532" s="552">
        <v>0</v>
      </c>
      <c r="D532" s="552">
        <v>0</v>
      </c>
      <c r="E532" s="551" t="s">
        <v>872</v>
      </c>
      <c r="F532" s="551" t="s">
        <v>100</v>
      </c>
      <c r="G532" s="551" t="s">
        <v>1548</v>
      </c>
      <c r="H532" s="551" t="s">
        <v>100</v>
      </c>
      <c r="I532" s="551" t="s">
        <v>2035</v>
      </c>
      <c r="J532" s="551" t="s">
        <v>100</v>
      </c>
      <c r="K532" s="551" t="s">
        <v>100</v>
      </c>
      <c r="L532" s="551" t="s">
        <v>100</v>
      </c>
      <c r="M532" s="551" t="s">
        <v>100</v>
      </c>
    </row>
    <row r="533" spans="1:13" ht="15">
      <c r="A533" s="551" t="s">
        <v>1255</v>
      </c>
      <c r="B533" s="551" t="s">
        <v>1256</v>
      </c>
      <c r="C533" s="552">
        <v>0</v>
      </c>
      <c r="D533" s="552">
        <v>0</v>
      </c>
      <c r="E533" s="551" t="s">
        <v>872</v>
      </c>
      <c r="F533" s="551" t="s">
        <v>100</v>
      </c>
      <c r="G533" s="551" t="s">
        <v>1548</v>
      </c>
      <c r="H533" s="551" t="s">
        <v>100</v>
      </c>
      <c r="I533" s="551" t="s">
        <v>2035</v>
      </c>
      <c r="J533" s="551" t="s">
        <v>100</v>
      </c>
      <c r="K533" s="551" t="s">
        <v>100</v>
      </c>
      <c r="L533" s="551" t="s">
        <v>100</v>
      </c>
      <c r="M533" s="551" t="s">
        <v>100</v>
      </c>
    </row>
    <row r="534" spans="1:13" ht="15">
      <c r="A534" s="551" t="s">
        <v>1257</v>
      </c>
      <c r="B534" s="551" t="s">
        <v>1258</v>
      </c>
      <c r="C534" s="552">
        <v>-4302000</v>
      </c>
      <c r="D534" s="552">
        <v>-4302000</v>
      </c>
      <c r="E534" s="551" t="s">
        <v>872</v>
      </c>
      <c r="F534" s="551" t="s">
        <v>100</v>
      </c>
      <c r="G534" s="551" t="s">
        <v>1549</v>
      </c>
      <c r="H534" s="551" t="s">
        <v>100</v>
      </c>
      <c r="I534" s="551" t="s">
        <v>2035</v>
      </c>
      <c r="J534" s="551" t="s">
        <v>100</v>
      </c>
      <c r="K534" s="551" t="s">
        <v>100</v>
      </c>
      <c r="L534" s="551" t="s">
        <v>100</v>
      </c>
      <c r="M534" s="551" t="s">
        <v>100</v>
      </c>
    </row>
    <row r="535" spans="1:13" ht="15">
      <c r="A535" s="551" t="s">
        <v>1259</v>
      </c>
      <c r="B535" s="551" t="s">
        <v>1260</v>
      </c>
      <c r="C535" s="552">
        <v>0</v>
      </c>
      <c r="D535" s="552">
        <v>0</v>
      </c>
      <c r="E535" s="551" t="s">
        <v>872</v>
      </c>
      <c r="F535" s="551" t="s">
        <v>100</v>
      </c>
      <c r="G535" s="551" t="s">
        <v>1549</v>
      </c>
      <c r="H535" s="551" t="s">
        <v>100</v>
      </c>
      <c r="I535" s="551" t="s">
        <v>2035</v>
      </c>
      <c r="J535" s="551" t="s">
        <v>100</v>
      </c>
      <c r="K535" s="551" t="s">
        <v>100</v>
      </c>
      <c r="L535" s="551" t="s">
        <v>100</v>
      </c>
      <c r="M535" s="551" t="s">
        <v>100</v>
      </c>
    </row>
    <row r="536" spans="1:13" ht="15">
      <c r="A536" s="551" t="s">
        <v>1261</v>
      </c>
      <c r="B536" s="551" t="s">
        <v>1262</v>
      </c>
      <c r="C536" s="552">
        <v>0</v>
      </c>
      <c r="D536" s="552">
        <v>0</v>
      </c>
      <c r="E536" s="551" t="s">
        <v>872</v>
      </c>
      <c r="F536" s="551" t="s">
        <v>100</v>
      </c>
      <c r="G536" s="551" t="s">
        <v>1549</v>
      </c>
      <c r="H536" s="551" t="s">
        <v>100</v>
      </c>
      <c r="I536" s="551" t="s">
        <v>2035</v>
      </c>
      <c r="J536" s="551" t="s">
        <v>100</v>
      </c>
      <c r="K536" s="551" t="s">
        <v>100</v>
      </c>
      <c r="L536" s="551" t="s">
        <v>100</v>
      </c>
      <c r="M536" s="551" t="s">
        <v>100</v>
      </c>
    </row>
    <row r="537" spans="1:13" ht="15">
      <c r="A537" s="551" t="s">
        <v>1263</v>
      </c>
      <c r="B537" s="551" t="s">
        <v>1264</v>
      </c>
      <c r="C537" s="552">
        <v>0</v>
      </c>
      <c r="D537" s="552">
        <v>-13051.98</v>
      </c>
      <c r="E537" s="551" t="s">
        <v>872</v>
      </c>
      <c r="F537" s="551" t="s">
        <v>100</v>
      </c>
      <c r="G537" s="551" t="s">
        <v>1549</v>
      </c>
      <c r="H537" s="551" t="s">
        <v>100</v>
      </c>
      <c r="I537" s="551" t="s">
        <v>2035</v>
      </c>
      <c r="J537" s="551" t="s">
        <v>100</v>
      </c>
      <c r="K537" s="551" t="s">
        <v>100</v>
      </c>
      <c r="L537" s="551" t="s">
        <v>100</v>
      </c>
      <c r="M537" s="551" t="s">
        <v>100</v>
      </c>
    </row>
    <row r="538" spans="1:13" ht="15">
      <c r="A538" s="551" t="s">
        <v>1265</v>
      </c>
      <c r="B538" s="551" t="s">
        <v>1625</v>
      </c>
      <c r="C538" s="552">
        <v>-58000</v>
      </c>
      <c r="D538" s="552">
        <v>-58000</v>
      </c>
      <c r="E538" s="551" t="s">
        <v>872</v>
      </c>
      <c r="F538" s="551" t="s">
        <v>100</v>
      </c>
      <c r="G538" s="551" t="s">
        <v>1549</v>
      </c>
      <c r="H538" s="551" t="s">
        <v>100</v>
      </c>
      <c r="I538" s="551" t="s">
        <v>2035</v>
      </c>
      <c r="J538" s="551" t="s">
        <v>100</v>
      </c>
      <c r="K538" s="551" t="s">
        <v>100</v>
      </c>
      <c r="L538" s="551" t="s">
        <v>100</v>
      </c>
      <c r="M538" s="551" t="s">
        <v>100</v>
      </c>
    </row>
    <row r="539" spans="1:13" ht="15">
      <c r="A539" s="551" t="s">
        <v>1267</v>
      </c>
      <c r="B539" s="551" t="s">
        <v>1268</v>
      </c>
      <c r="C539" s="552">
        <v>0</v>
      </c>
      <c r="D539" s="552">
        <v>0</v>
      </c>
      <c r="E539" s="551" t="s">
        <v>872</v>
      </c>
      <c r="F539" s="551" t="s">
        <v>100</v>
      </c>
      <c r="G539" s="551" t="s">
        <v>1549</v>
      </c>
      <c r="H539" s="551" t="s">
        <v>100</v>
      </c>
      <c r="I539" s="551" t="s">
        <v>2035</v>
      </c>
      <c r="J539" s="551" t="s">
        <v>100</v>
      </c>
      <c r="K539" s="551" t="s">
        <v>100</v>
      </c>
      <c r="L539" s="551" t="s">
        <v>100</v>
      </c>
      <c r="M539" s="551" t="s">
        <v>100</v>
      </c>
    </row>
    <row r="540" spans="1:13" ht="15">
      <c r="A540" s="551" t="s">
        <v>1269</v>
      </c>
      <c r="B540" s="551" t="s">
        <v>1270</v>
      </c>
      <c r="C540" s="552">
        <v>-4360000</v>
      </c>
      <c r="D540" s="552">
        <v>-4373051.9800000004</v>
      </c>
      <c r="E540" s="551" t="s">
        <v>872</v>
      </c>
      <c r="F540" s="551" t="s">
        <v>100</v>
      </c>
      <c r="G540" s="551" t="s">
        <v>1550</v>
      </c>
      <c r="H540" s="551" t="s">
        <v>1271</v>
      </c>
      <c r="I540" s="551" t="s">
        <v>2035</v>
      </c>
      <c r="J540" s="551" t="s">
        <v>100</v>
      </c>
      <c r="K540" s="551" t="s">
        <v>100</v>
      </c>
      <c r="L540" s="551" t="s">
        <v>100</v>
      </c>
      <c r="M540" s="551" t="s">
        <v>100</v>
      </c>
    </row>
    <row r="541" spans="1:13" ht="15">
      <c r="A541" s="551" t="s">
        <v>1272</v>
      </c>
      <c r="B541" s="551" t="s">
        <v>189</v>
      </c>
      <c r="C541" s="552">
        <v>0</v>
      </c>
      <c r="D541" s="552">
        <v>0</v>
      </c>
      <c r="E541" s="551" t="s">
        <v>872</v>
      </c>
      <c r="F541" s="551" t="s">
        <v>100</v>
      </c>
      <c r="G541" s="551" t="s">
        <v>1548</v>
      </c>
      <c r="H541" s="551" t="s">
        <v>100</v>
      </c>
      <c r="I541" s="551" t="s">
        <v>2035</v>
      </c>
      <c r="J541" s="551" t="s">
        <v>100</v>
      </c>
      <c r="K541" s="551" t="s">
        <v>100</v>
      </c>
      <c r="L541" s="551" t="s">
        <v>100</v>
      </c>
      <c r="M541" s="551" t="s">
        <v>100</v>
      </c>
    </row>
    <row r="542" spans="1:13" ht="15">
      <c r="A542" s="551" t="s">
        <v>1273</v>
      </c>
      <c r="B542" s="551" t="s">
        <v>1110</v>
      </c>
      <c r="C542" s="552">
        <v>0</v>
      </c>
      <c r="D542" s="552">
        <v>0</v>
      </c>
      <c r="E542" s="551" t="s">
        <v>872</v>
      </c>
      <c r="F542" s="551" t="s">
        <v>100</v>
      </c>
      <c r="G542" s="551" t="s">
        <v>1549</v>
      </c>
      <c r="H542" s="551" t="s">
        <v>100</v>
      </c>
      <c r="I542" s="551" t="s">
        <v>2035</v>
      </c>
      <c r="J542" s="551" t="s">
        <v>100</v>
      </c>
      <c r="K542" s="551" t="s">
        <v>100</v>
      </c>
      <c r="L542" s="551" t="s">
        <v>100</v>
      </c>
      <c r="M542" s="551" t="s">
        <v>100</v>
      </c>
    </row>
    <row r="543" spans="1:13" ht="15">
      <c r="A543" s="551" t="s">
        <v>1274</v>
      </c>
      <c r="B543" s="551" t="s">
        <v>1275</v>
      </c>
      <c r="C543" s="552">
        <v>0</v>
      </c>
      <c r="D543" s="552">
        <v>0</v>
      </c>
      <c r="E543" s="551" t="s">
        <v>872</v>
      </c>
      <c r="F543" s="551" t="s">
        <v>100</v>
      </c>
      <c r="G543" s="551" t="s">
        <v>1549</v>
      </c>
      <c r="H543" s="551" t="s">
        <v>100</v>
      </c>
      <c r="I543" s="551" t="s">
        <v>2035</v>
      </c>
      <c r="J543" s="551" t="s">
        <v>100</v>
      </c>
      <c r="K543" s="551" t="s">
        <v>100</v>
      </c>
      <c r="L543" s="551" t="s">
        <v>100</v>
      </c>
      <c r="M543" s="551" t="s">
        <v>100</v>
      </c>
    </row>
    <row r="544" spans="1:13" ht="15">
      <c r="A544" s="551" t="s">
        <v>1276</v>
      </c>
      <c r="B544" s="551" t="s">
        <v>1277</v>
      </c>
      <c r="C544" s="552">
        <v>0</v>
      </c>
      <c r="D544" s="552">
        <v>0</v>
      </c>
      <c r="E544" s="551" t="s">
        <v>872</v>
      </c>
      <c r="F544" s="551" t="s">
        <v>100</v>
      </c>
      <c r="G544" s="551" t="s">
        <v>1549</v>
      </c>
      <c r="H544" s="551" t="s">
        <v>100</v>
      </c>
      <c r="I544" s="551" t="s">
        <v>2035</v>
      </c>
      <c r="J544" s="551" t="s">
        <v>100</v>
      </c>
      <c r="K544" s="551" t="s">
        <v>100</v>
      </c>
      <c r="L544" s="551" t="s">
        <v>100</v>
      </c>
      <c r="M544" s="551" t="s">
        <v>100</v>
      </c>
    </row>
    <row r="545" spans="1:13" ht="15">
      <c r="A545" s="551" t="s">
        <v>1278</v>
      </c>
      <c r="B545" s="551" t="s">
        <v>1279</v>
      </c>
      <c r="C545" s="552">
        <v>-107000</v>
      </c>
      <c r="D545" s="552">
        <v>-239900</v>
      </c>
      <c r="E545" s="551" t="s">
        <v>872</v>
      </c>
      <c r="F545" s="551" t="s">
        <v>100</v>
      </c>
      <c r="G545" s="551" t="s">
        <v>1549</v>
      </c>
      <c r="H545" s="551" t="s">
        <v>100</v>
      </c>
      <c r="I545" s="551" t="s">
        <v>2035</v>
      </c>
      <c r="J545" s="551" t="s">
        <v>100</v>
      </c>
      <c r="K545" s="551" t="s">
        <v>100</v>
      </c>
      <c r="L545" s="551" t="s">
        <v>100</v>
      </c>
      <c r="M545" s="551" t="s">
        <v>100</v>
      </c>
    </row>
    <row r="546" spans="1:13" ht="15">
      <c r="A546" s="551" t="s">
        <v>1280</v>
      </c>
      <c r="B546" s="551" t="s">
        <v>1281</v>
      </c>
      <c r="C546" s="552">
        <v>0</v>
      </c>
      <c r="D546" s="552">
        <v>0</v>
      </c>
      <c r="E546" s="551" t="s">
        <v>872</v>
      </c>
      <c r="F546" s="551" t="s">
        <v>100</v>
      </c>
      <c r="G546" s="551" t="s">
        <v>1549</v>
      </c>
      <c r="H546" s="551" t="s">
        <v>100</v>
      </c>
      <c r="I546" s="551" t="s">
        <v>2035</v>
      </c>
      <c r="J546" s="551" t="s">
        <v>100</v>
      </c>
      <c r="K546" s="551" t="s">
        <v>100</v>
      </c>
      <c r="L546" s="551" t="s">
        <v>100</v>
      </c>
      <c r="M546" s="551" t="s">
        <v>100</v>
      </c>
    </row>
    <row r="547" spans="1:13" ht="15">
      <c r="A547" s="551" t="s">
        <v>1282</v>
      </c>
      <c r="B547" s="551" t="s">
        <v>251</v>
      </c>
      <c r="C547" s="552">
        <v>-107000</v>
      </c>
      <c r="D547" s="552">
        <v>-239900</v>
      </c>
      <c r="E547" s="551" t="s">
        <v>872</v>
      </c>
      <c r="F547" s="551" t="s">
        <v>100</v>
      </c>
      <c r="G547" s="551" t="s">
        <v>1550</v>
      </c>
      <c r="H547" s="551" t="s">
        <v>1283</v>
      </c>
      <c r="I547" s="551" t="s">
        <v>2035</v>
      </c>
      <c r="J547" s="551" t="s">
        <v>100</v>
      </c>
      <c r="K547" s="551" t="s">
        <v>100</v>
      </c>
      <c r="L547" s="551" t="s">
        <v>100</v>
      </c>
      <c r="M547" s="551" t="s">
        <v>100</v>
      </c>
    </row>
    <row r="548" spans="1:13" ht="15">
      <c r="A548" s="551" t="s">
        <v>1284</v>
      </c>
      <c r="B548" s="551" t="s">
        <v>278</v>
      </c>
      <c r="C548" s="552">
        <v>-4467000</v>
      </c>
      <c r="D548" s="552">
        <v>-4612951.9800000004</v>
      </c>
      <c r="E548" s="551" t="s">
        <v>872</v>
      </c>
      <c r="F548" s="551" t="s">
        <v>100</v>
      </c>
      <c r="G548" s="551" t="s">
        <v>1550</v>
      </c>
      <c r="H548" s="551" t="s">
        <v>1285</v>
      </c>
      <c r="I548" s="551" t="s">
        <v>2035</v>
      </c>
      <c r="J548" s="551" t="s">
        <v>100</v>
      </c>
      <c r="K548" s="551" t="s">
        <v>100</v>
      </c>
      <c r="L548" s="551" t="s">
        <v>100</v>
      </c>
      <c r="M548" s="551" t="s">
        <v>100</v>
      </c>
    </row>
    <row r="549" spans="1:13" ht="15">
      <c r="A549" s="551" t="s">
        <v>1286</v>
      </c>
      <c r="B549" s="551" t="s">
        <v>281</v>
      </c>
      <c r="C549" s="552">
        <v>0</v>
      </c>
      <c r="D549" s="552">
        <v>0</v>
      </c>
      <c r="E549" s="551" t="s">
        <v>872</v>
      </c>
      <c r="F549" s="551" t="s">
        <v>100</v>
      </c>
      <c r="G549" s="551" t="s">
        <v>1548</v>
      </c>
      <c r="H549" s="551" t="s">
        <v>100</v>
      </c>
      <c r="I549" s="551" t="s">
        <v>2035</v>
      </c>
      <c r="J549" s="551" t="s">
        <v>100</v>
      </c>
      <c r="K549" s="551" t="s">
        <v>100</v>
      </c>
      <c r="L549" s="551" t="s">
        <v>100</v>
      </c>
      <c r="M549" s="551" t="s">
        <v>100</v>
      </c>
    </row>
    <row r="550" spans="1:13" ht="15">
      <c r="A550" s="551" t="s">
        <v>1287</v>
      </c>
      <c r="B550" s="551" t="s">
        <v>1288</v>
      </c>
      <c r="C550" s="552">
        <v>0</v>
      </c>
      <c r="D550" s="552">
        <v>0</v>
      </c>
      <c r="E550" s="551" t="s">
        <v>872</v>
      </c>
      <c r="F550" s="551" t="s">
        <v>100</v>
      </c>
      <c r="G550" s="551" t="s">
        <v>1548</v>
      </c>
      <c r="H550" s="551" t="s">
        <v>100</v>
      </c>
      <c r="I550" s="551" t="s">
        <v>2035</v>
      </c>
      <c r="J550" s="551" t="s">
        <v>100</v>
      </c>
      <c r="K550" s="551" t="s">
        <v>100</v>
      </c>
      <c r="L550" s="551" t="s">
        <v>100</v>
      </c>
      <c r="M550" s="551" t="s">
        <v>100</v>
      </c>
    </row>
    <row r="551" spans="1:13" ht="15">
      <c r="A551" s="551" t="s">
        <v>1289</v>
      </c>
      <c r="B551" s="551" t="s">
        <v>47</v>
      </c>
      <c r="C551" s="552">
        <v>231754.6</v>
      </c>
      <c r="D551" s="552">
        <v>1115440.92</v>
      </c>
      <c r="E551" s="551" t="s">
        <v>872</v>
      </c>
      <c r="F551" s="551" t="s">
        <v>100</v>
      </c>
      <c r="G551" s="551" t="s">
        <v>1549</v>
      </c>
      <c r="H551" s="551" t="s">
        <v>100</v>
      </c>
      <c r="I551" s="551" t="s">
        <v>2035</v>
      </c>
      <c r="J551" s="551" t="s">
        <v>100</v>
      </c>
      <c r="K551" s="551" t="s">
        <v>100</v>
      </c>
      <c r="L551" s="551" t="s">
        <v>100</v>
      </c>
      <c r="M551" s="551" t="s">
        <v>100</v>
      </c>
    </row>
    <row r="552" spans="1:13" ht="15">
      <c r="A552" s="551" t="s">
        <v>1290</v>
      </c>
      <c r="B552" s="551" t="s">
        <v>1291</v>
      </c>
      <c r="C552" s="552">
        <v>0</v>
      </c>
      <c r="D552" s="552">
        <v>0</v>
      </c>
      <c r="E552" s="551" t="s">
        <v>872</v>
      </c>
      <c r="F552" s="551" t="s">
        <v>100</v>
      </c>
      <c r="G552" s="551" t="s">
        <v>1549</v>
      </c>
      <c r="H552" s="551" t="s">
        <v>100</v>
      </c>
      <c r="I552" s="551" t="s">
        <v>2035</v>
      </c>
      <c r="J552" s="551" t="s">
        <v>100</v>
      </c>
      <c r="K552" s="551" t="s">
        <v>100</v>
      </c>
      <c r="L552" s="551" t="s">
        <v>100</v>
      </c>
      <c r="M552" s="551" t="s">
        <v>100</v>
      </c>
    </row>
    <row r="553" spans="1:13" ht="15">
      <c r="A553" s="551" t="s">
        <v>1292</v>
      </c>
      <c r="B553" s="551" t="s">
        <v>1293</v>
      </c>
      <c r="C553" s="552">
        <v>489</v>
      </c>
      <c r="D553" s="552">
        <v>67458.66</v>
      </c>
      <c r="E553" s="551" t="s">
        <v>872</v>
      </c>
      <c r="F553" s="551" t="s">
        <v>100</v>
      </c>
      <c r="G553" s="551" t="s">
        <v>1549</v>
      </c>
      <c r="H553" s="551" t="s">
        <v>100</v>
      </c>
      <c r="I553" s="551" t="s">
        <v>2038</v>
      </c>
      <c r="J553" s="551" t="s">
        <v>2037</v>
      </c>
      <c r="K553" s="551" t="s">
        <v>1292</v>
      </c>
      <c r="L553" s="551" t="s">
        <v>100</v>
      </c>
      <c r="M553" s="551" t="s">
        <v>100</v>
      </c>
    </row>
    <row r="554" spans="1:13" ht="15">
      <c r="A554" s="551" t="s">
        <v>1294</v>
      </c>
      <c r="B554" s="551" t="s">
        <v>1295</v>
      </c>
      <c r="C554" s="552">
        <v>5060</v>
      </c>
      <c r="D554" s="552">
        <v>31397.67</v>
      </c>
      <c r="E554" s="551" t="s">
        <v>872</v>
      </c>
      <c r="F554" s="551" t="s">
        <v>100</v>
      </c>
      <c r="G554" s="551" t="s">
        <v>1549</v>
      </c>
      <c r="H554" s="551" t="s">
        <v>100</v>
      </c>
      <c r="I554" s="551" t="s">
        <v>2038</v>
      </c>
      <c r="J554" s="551" t="s">
        <v>2037</v>
      </c>
      <c r="K554" s="551" t="s">
        <v>1294</v>
      </c>
      <c r="L554" s="551" t="s">
        <v>100</v>
      </c>
      <c r="M554" s="551" t="s">
        <v>100</v>
      </c>
    </row>
    <row r="555" spans="1:13" ht="15">
      <c r="A555" s="551" t="s">
        <v>1296</v>
      </c>
      <c r="B555" s="551" t="s">
        <v>1297</v>
      </c>
      <c r="C555" s="552">
        <v>0</v>
      </c>
      <c r="D555" s="552">
        <v>0</v>
      </c>
      <c r="E555" s="551" t="s">
        <v>872</v>
      </c>
      <c r="F555" s="551" t="s">
        <v>100</v>
      </c>
      <c r="G555" s="551" t="s">
        <v>1549</v>
      </c>
      <c r="H555" s="551" t="s">
        <v>100</v>
      </c>
      <c r="I555" s="551" t="s">
        <v>2038</v>
      </c>
      <c r="J555" s="551" t="s">
        <v>2037</v>
      </c>
      <c r="K555" s="551" t="s">
        <v>1296</v>
      </c>
      <c r="L555" s="551" t="s">
        <v>100</v>
      </c>
      <c r="M555" s="551" t="s">
        <v>100</v>
      </c>
    </row>
    <row r="556" spans="1:13" ht="15">
      <c r="A556" s="551" t="s">
        <v>1298</v>
      </c>
      <c r="B556" s="551" t="s">
        <v>1299</v>
      </c>
      <c r="C556" s="552">
        <v>0</v>
      </c>
      <c r="D556" s="552">
        <v>5732</v>
      </c>
      <c r="E556" s="551" t="s">
        <v>872</v>
      </c>
      <c r="F556" s="551" t="s">
        <v>100</v>
      </c>
      <c r="G556" s="551" t="s">
        <v>1549</v>
      </c>
      <c r="H556" s="551" t="s">
        <v>100</v>
      </c>
      <c r="I556" s="551" t="s">
        <v>2038</v>
      </c>
      <c r="J556" s="551" t="s">
        <v>2037</v>
      </c>
      <c r="K556" s="551" t="s">
        <v>1298</v>
      </c>
      <c r="L556" s="551" t="s">
        <v>100</v>
      </c>
      <c r="M556" s="551" t="s">
        <v>100</v>
      </c>
    </row>
    <row r="557" spans="1:13" ht="15">
      <c r="A557" s="551" t="s">
        <v>1300</v>
      </c>
      <c r="B557" s="551" t="s">
        <v>1301</v>
      </c>
      <c r="C557" s="552">
        <v>1078.8599999999999</v>
      </c>
      <c r="D557" s="552">
        <v>1078.8599999999999</v>
      </c>
      <c r="E557" s="551" t="s">
        <v>872</v>
      </c>
      <c r="F557" s="551" t="s">
        <v>100</v>
      </c>
      <c r="G557" s="551" t="s">
        <v>1549</v>
      </c>
      <c r="H557" s="551" t="s">
        <v>100</v>
      </c>
      <c r="I557" s="551" t="s">
        <v>2038</v>
      </c>
      <c r="J557" s="551" t="s">
        <v>2037</v>
      </c>
      <c r="K557" s="551" t="s">
        <v>1300</v>
      </c>
      <c r="L557" s="551" t="s">
        <v>100</v>
      </c>
      <c r="M557" s="551" t="s">
        <v>100</v>
      </c>
    </row>
    <row r="558" spans="1:13" ht="15">
      <c r="A558" s="551" t="s">
        <v>1302</v>
      </c>
      <c r="B558" s="551" t="s">
        <v>1303</v>
      </c>
      <c r="C558" s="552">
        <v>50339.27</v>
      </c>
      <c r="D558" s="552">
        <v>216516.16</v>
      </c>
      <c r="E558" s="551" t="s">
        <v>872</v>
      </c>
      <c r="F558" s="551" t="s">
        <v>100</v>
      </c>
      <c r="G558" s="551" t="s">
        <v>1549</v>
      </c>
      <c r="H558" s="551" t="s">
        <v>100</v>
      </c>
      <c r="I558" s="551" t="s">
        <v>2035</v>
      </c>
      <c r="J558" s="551" t="s">
        <v>100</v>
      </c>
      <c r="K558" s="551" t="s">
        <v>100</v>
      </c>
      <c r="L558" s="551" t="s">
        <v>100</v>
      </c>
      <c r="M558" s="551" t="s">
        <v>100</v>
      </c>
    </row>
    <row r="559" spans="1:13" ht="15">
      <c r="A559" s="551" t="s">
        <v>1304</v>
      </c>
      <c r="B559" s="551" t="s">
        <v>664</v>
      </c>
      <c r="C559" s="552">
        <v>34382.03</v>
      </c>
      <c r="D559" s="552">
        <v>141340.1</v>
      </c>
      <c r="E559" s="551" t="s">
        <v>872</v>
      </c>
      <c r="F559" s="551" t="s">
        <v>100</v>
      </c>
      <c r="G559" s="551" t="s">
        <v>1549</v>
      </c>
      <c r="H559" s="551" t="s">
        <v>100</v>
      </c>
      <c r="I559" s="551" t="s">
        <v>2038</v>
      </c>
      <c r="J559" s="551" t="s">
        <v>2037</v>
      </c>
      <c r="K559" s="551" t="s">
        <v>1304</v>
      </c>
      <c r="L559" s="551" t="s">
        <v>100</v>
      </c>
      <c r="M559" s="551" t="s">
        <v>100</v>
      </c>
    </row>
    <row r="560" spans="1:13" ht="15">
      <c r="A560" s="551" t="s">
        <v>1305</v>
      </c>
      <c r="B560" s="551" t="s">
        <v>1306</v>
      </c>
      <c r="C560" s="552">
        <v>-100.05</v>
      </c>
      <c r="D560" s="552">
        <v>96246.36</v>
      </c>
      <c r="E560" s="551" t="s">
        <v>872</v>
      </c>
      <c r="F560" s="551" t="s">
        <v>100</v>
      </c>
      <c r="G560" s="551" t="s">
        <v>1549</v>
      </c>
      <c r="H560" s="551" t="s">
        <v>100</v>
      </c>
      <c r="I560" s="551" t="s">
        <v>2038</v>
      </c>
      <c r="J560" s="551" t="s">
        <v>2037</v>
      </c>
      <c r="K560" s="551" t="s">
        <v>1305</v>
      </c>
      <c r="L560" s="551" t="s">
        <v>100</v>
      </c>
      <c r="M560" s="551" t="s">
        <v>100</v>
      </c>
    </row>
    <row r="561" spans="1:13" ht="15">
      <c r="A561" s="551" t="s">
        <v>1307</v>
      </c>
      <c r="B561" s="551" t="s">
        <v>1628</v>
      </c>
      <c r="C561" s="552">
        <v>15408.83</v>
      </c>
      <c r="D561" s="552">
        <v>26553.17</v>
      </c>
      <c r="E561" s="551" t="s">
        <v>872</v>
      </c>
      <c r="F561" s="551" t="s">
        <v>100</v>
      </c>
      <c r="G561" s="551" t="s">
        <v>1549</v>
      </c>
      <c r="H561" s="551" t="s">
        <v>100</v>
      </c>
      <c r="I561" s="551" t="s">
        <v>2038</v>
      </c>
      <c r="J561" s="551" t="s">
        <v>2037</v>
      </c>
      <c r="K561" s="551" t="s">
        <v>1307</v>
      </c>
      <c r="L561" s="551" t="s">
        <v>100</v>
      </c>
      <c r="M561" s="551" t="s">
        <v>100</v>
      </c>
    </row>
    <row r="562" spans="1:13" ht="15">
      <c r="A562" s="551" t="s">
        <v>1309</v>
      </c>
      <c r="B562" s="551" t="s">
        <v>1310</v>
      </c>
      <c r="C562" s="552">
        <v>46892.31</v>
      </c>
      <c r="D562" s="552">
        <v>82830.8</v>
      </c>
      <c r="E562" s="551" t="s">
        <v>872</v>
      </c>
      <c r="F562" s="551" t="s">
        <v>100</v>
      </c>
      <c r="G562" s="551" t="s">
        <v>1549</v>
      </c>
      <c r="H562" s="551" t="s">
        <v>100</v>
      </c>
      <c r="I562" s="551" t="s">
        <v>2038</v>
      </c>
      <c r="J562" s="551" t="s">
        <v>2037</v>
      </c>
      <c r="K562" s="551" t="s">
        <v>1309</v>
      </c>
      <c r="L562" s="551" t="s">
        <v>100</v>
      </c>
      <c r="M562" s="551" t="s">
        <v>100</v>
      </c>
    </row>
    <row r="563" spans="1:13" ht="15">
      <c r="A563" s="551" t="s">
        <v>1311</v>
      </c>
      <c r="B563" s="551" t="s">
        <v>1312</v>
      </c>
      <c r="C563" s="552">
        <v>0</v>
      </c>
      <c r="D563" s="552">
        <v>449</v>
      </c>
      <c r="E563" s="551" t="s">
        <v>872</v>
      </c>
      <c r="F563" s="551" t="s">
        <v>100</v>
      </c>
      <c r="G563" s="551" t="s">
        <v>1549</v>
      </c>
      <c r="H563" s="551" t="s">
        <v>100</v>
      </c>
      <c r="I563" s="551" t="s">
        <v>2038</v>
      </c>
      <c r="J563" s="551" t="s">
        <v>2037</v>
      </c>
      <c r="K563" s="551" t="s">
        <v>1311</v>
      </c>
      <c r="L563" s="551" t="s">
        <v>100</v>
      </c>
      <c r="M563" s="551" t="s">
        <v>100</v>
      </c>
    </row>
    <row r="564" spans="1:13" ht="15">
      <c r="A564" s="551" t="s">
        <v>1313</v>
      </c>
      <c r="B564" s="551" t="s">
        <v>1314</v>
      </c>
      <c r="C564" s="552">
        <v>37500</v>
      </c>
      <c r="D564" s="552">
        <v>41164.67</v>
      </c>
      <c r="E564" s="551" t="s">
        <v>872</v>
      </c>
      <c r="F564" s="551" t="s">
        <v>100</v>
      </c>
      <c r="G564" s="551" t="s">
        <v>1549</v>
      </c>
      <c r="H564" s="551" t="s">
        <v>100</v>
      </c>
      <c r="I564" s="551" t="s">
        <v>2038</v>
      </c>
      <c r="J564" s="551" t="s">
        <v>2037</v>
      </c>
      <c r="K564" s="551" t="s">
        <v>1313</v>
      </c>
      <c r="L564" s="551" t="s">
        <v>100</v>
      </c>
      <c r="M564" s="551" t="s">
        <v>100</v>
      </c>
    </row>
    <row r="565" spans="1:13" ht="15">
      <c r="A565" s="551" t="s">
        <v>1315</v>
      </c>
      <c r="B565" s="551" t="s">
        <v>1316</v>
      </c>
      <c r="C565" s="552">
        <v>0</v>
      </c>
      <c r="D565" s="552">
        <v>0</v>
      </c>
      <c r="E565" s="551" t="s">
        <v>872</v>
      </c>
      <c r="F565" s="551" t="s">
        <v>100</v>
      </c>
      <c r="G565" s="551" t="s">
        <v>1549</v>
      </c>
      <c r="H565" s="551" t="s">
        <v>100</v>
      </c>
      <c r="I565" s="551" t="s">
        <v>2035</v>
      </c>
      <c r="J565" s="551" t="s">
        <v>100</v>
      </c>
      <c r="K565" s="551" t="s">
        <v>100</v>
      </c>
      <c r="L565" s="551" t="s">
        <v>100</v>
      </c>
      <c r="M565" s="551" t="s">
        <v>100</v>
      </c>
    </row>
    <row r="566" spans="1:13" ht="15">
      <c r="A566" s="551" t="s">
        <v>1317</v>
      </c>
      <c r="B566" s="551" t="s">
        <v>1318</v>
      </c>
      <c r="C566" s="552">
        <v>0</v>
      </c>
      <c r="D566" s="552">
        <v>0</v>
      </c>
      <c r="E566" s="551" t="s">
        <v>872</v>
      </c>
      <c r="F566" s="551" t="s">
        <v>100</v>
      </c>
      <c r="G566" s="551" t="s">
        <v>1549</v>
      </c>
      <c r="H566" s="551" t="s">
        <v>100</v>
      </c>
      <c r="I566" s="551" t="s">
        <v>2035</v>
      </c>
      <c r="J566" s="551" t="s">
        <v>100</v>
      </c>
      <c r="K566" s="551" t="s">
        <v>100</v>
      </c>
      <c r="L566" s="551" t="s">
        <v>100</v>
      </c>
      <c r="M566" s="551" t="s">
        <v>100</v>
      </c>
    </row>
    <row r="567" spans="1:13" ht="15">
      <c r="A567" s="551" t="s">
        <v>1319</v>
      </c>
      <c r="B567" s="551" t="s">
        <v>1320</v>
      </c>
      <c r="C567" s="552">
        <v>422804.85</v>
      </c>
      <c r="D567" s="552">
        <v>1826208.37</v>
      </c>
      <c r="E567" s="551" t="s">
        <v>872</v>
      </c>
      <c r="F567" s="551" t="s">
        <v>100</v>
      </c>
      <c r="G567" s="551" t="s">
        <v>1550</v>
      </c>
      <c r="H567" s="551" t="s">
        <v>1321</v>
      </c>
      <c r="I567" s="551" t="s">
        <v>2035</v>
      </c>
      <c r="J567" s="551" t="s">
        <v>100</v>
      </c>
      <c r="K567" s="551" t="s">
        <v>100</v>
      </c>
      <c r="L567" s="551" t="s">
        <v>100</v>
      </c>
      <c r="M567" s="551" t="s">
        <v>100</v>
      </c>
    </row>
    <row r="568" spans="1:13" ht="15">
      <c r="A568" s="551" t="s">
        <v>1322</v>
      </c>
      <c r="B568" s="551" t="s">
        <v>1323</v>
      </c>
      <c r="C568" s="552">
        <v>0</v>
      </c>
      <c r="D568" s="552">
        <v>0</v>
      </c>
      <c r="E568" s="551" t="s">
        <v>872</v>
      </c>
      <c r="F568" s="551" t="s">
        <v>100</v>
      </c>
      <c r="G568" s="551" t="s">
        <v>1548</v>
      </c>
      <c r="H568" s="551" t="s">
        <v>100</v>
      </c>
      <c r="I568" s="551" t="s">
        <v>2035</v>
      </c>
      <c r="J568" s="551" t="s">
        <v>100</v>
      </c>
      <c r="K568" s="551" t="s">
        <v>100</v>
      </c>
      <c r="L568" s="551" t="s">
        <v>100</v>
      </c>
      <c r="M568" s="551" t="s">
        <v>100</v>
      </c>
    </row>
    <row r="569" spans="1:13" ht="15">
      <c r="A569" s="551" t="s">
        <v>1324</v>
      </c>
      <c r="B569" s="551" t="s">
        <v>1325</v>
      </c>
      <c r="C569" s="552">
        <v>2921.88</v>
      </c>
      <c r="D569" s="552">
        <v>89808.39</v>
      </c>
      <c r="E569" s="551" t="s">
        <v>872</v>
      </c>
      <c r="F569" s="551" t="s">
        <v>100</v>
      </c>
      <c r="G569" s="551" t="s">
        <v>1549</v>
      </c>
      <c r="H569" s="551" t="s">
        <v>100</v>
      </c>
      <c r="I569" s="551" t="s">
        <v>2038</v>
      </c>
      <c r="J569" s="551" t="s">
        <v>2037</v>
      </c>
      <c r="K569" s="551" t="s">
        <v>1324</v>
      </c>
      <c r="L569" s="551" t="s">
        <v>100</v>
      </c>
      <c r="M569" s="551" t="s">
        <v>100</v>
      </c>
    </row>
    <row r="570" spans="1:13" ht="15">
      <c r="A570" s="551" t="s">
        <v>1326</v>
      </c>
      <c r="B570" s="551" t="s">
        <v>1327</v>
      </c>
      <c r="C570" s="552">
        <v>0</v>
      </c>
      <c r="D570" s="552">
        <v>0</v>
      </c>
      <c r="E570" s="551" t="s">
        <v>872</v>
      </c>
      <c r="F570" s="551" t="s">
        <v>100</v>
      </c>
      <c r="G570" s="551" t="s">
        <v>1549</v>
      </c>
      <c r="H570" s="551" t="s">
        <v>100</v>
      </c>
      <c r="I570" s="551" t="s">
        <v>2035</v>
      </c>
      <c r="J570" s="551" t="s">
        <v>100</v>
      </c>
      <c r="K570" s="551" t="s">
        <v>100</v>
      </c>
      <c r="L570" s="551" t="s">
        <v>100</v>
      </c>
      <c r="M570" s="551" t="s">
        <v>100</v>
      </c>
    </row>
    <row r="571" spans="1:13" ht="15">
      <c r="A571" s="551" t="s">
        <v>1328</v>
      </c>
      <c r="B571" s="551" t="s">
        <v>1329</v>
      </c>
      <c r="C571" s="552">
        <v>0</v>
      </c>
      <c r="D571" s="552">
        <v>0</v>
      </c>
      <c r="E571" s="551" t="s">
        <v>872</v>
      </c>
      <c r="F571" s="551" t="s">
        <v>100</v>
      </c>
      <c r="G571" s="551" t="s">
        <v>1549</v>
      </c>
      <c r="H571" s="551" t="s">
        <v>100</v>
      </c>
      <c r="I571" s="551" t="s">
        <v>2035</v>
      </c>
      <c r="J571" s="551" t="s">
        <v>100</v>
      </c>
      <c r="K571" s="551" t="s">
        <v>100</v>
      </c>
      <c r="L571" s="551" t="s">
        <v>100</v>
      </c>
      <c r="M571" s="551" t="s">
        <v>100</v>
      </c>
    </row>
    <row r="572" spans="1:13" ht="15">
      <c r="A572" s="551" t="s">
        <v>1330</v>
      </c>
      <c r="B572" s="551" t="s">
        <v>1331</v>
      </c>
      <c r="C572" s="552">
        <v>0</v>
      </c>
      <c r="D572" s="552">
        <v>1027.75</v>
      </c>
      <c r="E572" s="551" t="s">
        <v>872</v>
      </c>
      <c r="F572" s="551" t="s">
        <v>100</v>
      </c>
      <c r="G572" s="551" t="s">
        <v>1549</v>
      </c>
      <c r="H572" s="551" t="s">
        <v>100</v>
      </c>
      <c r="I572" s="551" t="s">
        <v>2038</v>
      </c>
      <c r="J572" s="551" t="s">
        <v>2037</v>
      </c>
      <c r="K572" s="551" t="s">
        <v>1330</v>
      </c>
      <c r="L572" s="551" t="s">
        <v>100</v>
      </c>
      <c r="M572" s="551" t="s">
        <v>100</v>
      </c>
    </row>
    <row r="573" spans="1:13" ht="15">
      <c r="A573" s="551" t="s">
        <v>1332</v>
      </c>
      <c r="B573" s="551" t="s">
        <v>1333</v>
      </c>
      <c r="C573" s="552">
        <v>2921.88</v>
      </c>
      <c r="D573" s="552">
        <v>90836.14</v>
      </c>
      <c r="E573" s="551" t="s">
        <v>872</v>
      </c>
      <c r="F573" s="551" t="s">
        <v>100</v>
      </c>
      <c r="G573" s="551" t="s">
        <v>1550</v>
      </c>
      <c r="H573" s="551" t="s">
        <v>1334</v>
      </c>
      <c r="I573" s="551" t="s">
        <v>2035</v>
      </c>
      <c r="J573" s="551" t="s">
        <v>100</v>
      </c>
      <c r="K573" s="551" t="s">
        <v>100</v>
      </c>
      <c r="L573" s="551" t="s">
        <v>100</v>
      </c>
      <c r="M573" s="551" t="s">
        <v>100</v>
      </c>
    </row>
    <row r="574" spans="1:13" ht="15">
      <c r="A574" s="551" t="s">
        <v>1335</v>
      </c>
      <c r="B574" s="551" t="s">
        <v>1336</v>
      </c>
      <c r="C574" s="552">
        <v>0</v>
      </c>
      <c r="D574" s="552">
        <v>0</v>
      </c>
      <c r="E574" s="551" t="s">
        <v>872</v>
      </c>
      <c r="F574" s="551" t="s">
        <v>100</v>
      </c>
      <c r="G574" s="551" t="s">
        <v>1548</v>
      </c>
      <c r="H574" s="551" t="s">
        <v>100</v>
      </c>
      <c r="I574" s="551" t="s">
        <v>2035</v>
      </c>
      <c r="J574" s="551" t="s">
        <v>100</v>
      </c>
      <c r="K574" s="551" t="s">
        <v>100</v>
      </c>
      <c r="L574" s="551" t="s">
        <v>100</v>
      </c>
      <c r="M574" s="551" t="s">
        <v>100</v>
      </c>
    </row>
    <row r="575" spans="1:13" ht="15">
      <c r="A575" s="551" t="s">
        <v>1337</v>
      </c>
      <c r="B575" s="551" t="s">
        <v>1338</v>
      </c>
      <c r="C575" s="552">
        <v>0</v>
      </c>
      <c r="D575" s="552">
        <v>0</v>
      </c>
      <c r="E575" s="551" t="s">
        <v>872</v>
      </c>
      <c r="F575" s="551" t="s">
        <v>100</v>
      </c>
      <c r="G575" s="551" t="s">
        <v>1549</v>
      </c>
      <c r="H575" s="551" t="s">
        <v>100</v>
      </c>
      <c r="I575" s="551" t="s">
        <v>2038</v>
      </c>
      <c r="J575" s="551" t="s">
        <v>2037</v>
      </c>
      <c r="K575" s="551" t="s">
        <v>1337</v>
      </c>
      <c r="L575" s="551" t="s">
        <v>100</v>
      </c>
      <c r="M575" s="551" t="s">
        <v>100</v>
      </c>
    </row>
    <row r="576" spans="1:13" ht="15">
      <c r="A576" s="551" t="s">
        <v>1339</v>
      </c>
      <c r="B576" s="551" t="s">
        <v>1340</v>
      </c>
      <c r="C576" s="552">
        <v>13440</v>
      </c>
      <c r="D576" s="552">
        <v>150947.70000000001</v>
      </c>
      <c r="E576" s="551" t="s">
        <v>872</v>
      </c>
      <c r="F576" s="551" t="s">
        <v>100</v>
      </c>
      <c r="G576" s="551" t="s">
        <v>1549</v>
      </c>
      <c r="H576" s="551" t="s">
        <v>100</v>
      </c>
      <c r="I576" s="551" t="s">
        <v>2038</v>
      </c>
      <c r="J576" s="551" t="s">
        <v>2037</v>
      </c>
      <c r="K576" s="551" t="s">
        <v>1339</v>
      </c>
      <c r="L576" s="551" t="s">
        <v>100</v>
      </c>
      <c r="M576" s="551" t="s">
        <v>100</v>
      </c>
    </row>
    <row r="577" spans="1:13" ht="15">
      <c r="A577" s="551" t="s">
        <v>1341</v>
      </c>
      <c r="B577" s="551" t="s">
        <v>1342</v>
      </c>
      <c r="C577" s="552">
        <v>0</v>
      </c>
      <c r="D577" s="552">
        <v>158400</v>
      </c>
      <c r="E577" s="551" t="s">
        <v>872</v>
      </c>
      <c r="F577" s="551" t="s">
        <v>100</v>
      </c>
      <c r="G577" s="551" t="s">
        <v>1549</v>
      </c>
      <c r="H577" s="551" t="s">
        <v>100</v>
      </c>
      <c r="I577" s="551" t="s">
        <v>2038</v>
      </c>
      <c r="J577" s="551" t="s">
        <v>2037</v>
      </c>
      <c r="K577" s="551" t="s">
        <v>1341</v>
      </c>
      <c r="L577" s="551" t="s">
        <v>100</v>
      </c>
      <c r="M577" s="551" t="s">
        <v>100</v>
      </c>
    </row>
    <row r="578" spans="1:13" ht="15">
      <c r="A578" s="551" t="s">
        <v>1343</v>
      </c>
      <c r="B578" s="551" t="s">
        <v>1344</v>
      </c>
      <c r="C578" s="552">
        <v>0</v>
      </c>
      <c r="D578" s="552">
        <v>0</v>
      </c>
      <c r="E578" s="551" t="s">
        <v>872</v>
      </c>
      <c r="F578" s="551" t="s">
        <v>100</v>
      </c>
      <c r="G578" s="551" t="s">
        <v>1549</v>
      </c>
      <c r="H578" s="551" t="s">
        <v>100</v>
      </c>
      <c r="I578" s="551" t="s">
        <v>2038</v>
      </c>
      <c r="J578" s="551" t="s">
        <v>2037</v>
      </c>
      <c r="K578" s="551" t="s">
        <v>1343</v>
      </c>
      <c r="L578" s="551" t="s">
        <v>100</v>
      </c>
      <c r="M578" s="551" t="s">
        <v>100</v>
      </c>
    </row>
    <row r="579" spans="1:13" ht="15">
      <c r="A579" s="551" t="s">
        <v>1345</v>
      </c>
      <c r="B579" s="551" t="s">
        <v>1346</v>
      </c>
      <c r="C579" s="552">
        <v>0</v>
      </c>
      <c r="D579" s="552">
        <v>0</v>
      </c>
      <c r="E579" s="551" t="s">
        <v>872</v>
      </c>
      <c r="F579" s="551" t="s">
        <v>100</v>
      </c>
      <c r="G579" s="551" t="s">
        <v>1549</v>
      </c>
      <c r="H579" s="551" t="s">
        <v>100</v>
      </c>
      <c r="I579" s="551" t="s">
        <v>2038</v>
      </c>
      <c r="J579" s="551" t="s">
        <v>2037</v>
      </c>
      <c r="K579" s="551" t="s">
        <v>1345</v>
      </c>
      <c r="L579" s="551" t="s">
        <v>100</v>
      </c>
      <c r="M579" s="551" t="s">
        <v>100</v>
      </c>
    </row>
    <row r="580" spans="1:13" ht="15">
      <c r="A580" s="551" t="s">
        <v>1347</v>
      </c>
      <c r="B580" s="551" t="s">
        <v>1348</v>
      </c>
      <c r="C580" s="552">
        <v>0</v>
      </c>
      <c r="D580" s="552">
        <v>0</v>
      </c>
      <c r="E580" s="551" t="s">
        <v>872</v>
      </c>
      <c r="F580" s="551" t="s">
        <v>100</v>
      </c>
      <c r="G580" s="551" t="s">
        <v>1549</v>
      </c>
      <c r="H580" s="551" t="s">
        <v>100</v>
      </c>
      <c r="I580" s="551" t="s">
        <v>2038</v>
      </c>
      <c r="J580" s="551" t="s">
        <v>2037</v>
      </c>
      <c r="K580" s="551" t="s">
        <v>1347</v>
      </c>
      <c r="L580" s="551" t="s">
        <v>100</v>
      </c>
      <c r="M580" s="551" t="s">
        <v>100</v>
      </c>
    </row>
    <row r="581" spans="1:13" ht="15">
      <c r="A581" s="551" t="s">
        <v>1349</v>
      </c>
      <c r="B581" s="551" t="s">
        <v>1350</v>
      </c>
      <c r="C581" s="552">
        <v>0</v>
      </c>
      <c r="D581" s="552">
        <v>9580</v>
      </c>
      <c r="E581" s="551" t="s">
        <v>872</v>
      </c>
      <c r="F581" s="551" t="s">
        <v>100</v>
      </c>
      <c r="G581" s="551" t="s">
        <v>1549</v>
      </c>
      <c r="H581" s="551" t="s">
        <v>100</v>
      </c>
      <c r="I581" s="551" t="s">
        <v>2038</v>
      </c>
      <c r="J581" s="551" t="s">
        <v>2037</v>
      </c>
      <c r="K581" s="551" t="s">
        <v>1349</v>
      </c>
      <c r="L581" s="551" t="s">
        <v>100</v>
      </c>
      <c r="M581" s="551" t="s">
        <v>100</v>
      </c>
    </row>
    <row r="582" spans="1:13" ht="15">
      <c r="A582" s="551" t="s">
        <v>1351</v>
      </c>
      <c r="B582" s="551" t="s">
        <v>1352</v>
      </c>
      <c r="C582" s="552">
        <v>0</v>
      </c>
      <c r="D582" s="552">
        <v>0</v>
      </c>
      <c r="E582" s="551" t="s">
        <v>872</v>
      </c>
      <c r="F582" s="551" t="s">
        <v>100</v>
      </c>
      <c r="G582" s="551" t="s">
        <v>1549</v>
      </c>
      <c r="H582" s="551" t="s">
        <v>100</v>
      </c>
      <c r="I582" s="551" t="s">
        <v>2038</v>
      </c>
      <c r="J582" s="551" t="s">
        <v>2037</v>
      </c>
      <c r="K582" s="551" t="s">
        <v>1351</v>
      </c>
      <c r="L582" s="551" t="s">
        <v>100</v>
      </c>
      <c r="M582" s="551" t="s">
        <v>100</v>
      </c>
    </row>
    <row r="583" spans="1:13" ht="15">
      <c r="A583" s="551" t="s">
        <v>1353</v>
      </c>
      <c r="B583" s="551" t="s">
        <v>1354</v>
      </c>
      <c r="C583" s="552">
        <v>0</v>
      </c>
      <c r="D583" s="552">
        <v>0</v>
      </c>
      <c r="E583" s="551" t="s">
        <v>872</v>
      </c>
      <c r="F583" s="551" t="s">
        <v>100</v>
      </c>
      <c r="G583" s="551" t="s">
        <v>1549</v>
      </c>
      <c r="H583" s="551" t="s">
        <v>100</v>
      </c>
      <c r="I583" s="551" t="s">
        <v>2038</v>
      </c>
      <c r="J583" s="551" t="s">
        <v>2037</v>
      </c>
      <c r="K583" s="551" t="s">
        <v>1353</v>
      </c>
      <c r="L583" s="551" t="s">
        <v>100</v>
      </c>
      <c r="M583" s="551" t="s">
        <v>100</v>
      </c>
    </row>
    <row r="584" spans="1:13" ht="15">
      <c r="A584" s="551" t="s">
        <v>1355</v>
      </c>
      <c r="B584" s="551" t="s">
        <v>1356</v>
      </c>
      <c r="C584" s="552">
        <v>0</v>
      </c>
      <c r="D584" s="552">
        <v>0</v>
      </c>
      <c r="E584" s="551" t="s">
        <v>872</v>
      </c>
      <c r="F584" s="551" t="s">
        <v>100</v>
      </c>
      <c r="G584" s="551" t="s">
        <v>1549</v>
      </c>
      <c r="H584" s="551" t="s">
        <v>100</v>
      </c>
      <c r="I584" s="551" t="s">
        <v>2038</v>
      </c>
      <c r="J584" s="551" t="s">
        <v>2037</v>
      </c>
      <c r="K584" s="551" t="s">
        <v>1355</v>
      </c>
      <c r="L584" s="551" t="s">
        <v>100</v>
      </c>
      <c r="M584" s="551" t="s">
        <v>100</v>
      </c>
    </row>
    <row r="585" spans="1:13" ht="15">
      <c r="A585" s="551" t="s">
        <v>1357</v>
      </c>
      <c r="B585" s="551" t="s">
        <v>1358</v>
      </c>
      <c r="C585" s="552">
        <v>0</v>
      </c>
      <c r="D585" s="552">
        <v>0</v>
      </c>
      <c r="E585" s="551" t="s">
        <v>872</v>
      </c>
      <c r="F585" s="551" t="s">
        <v>100</v>
      </c>
      <c r="G585" s="551" t="s">
        <v>1549</v>
      </c>
      <c r="H585" s="551" t="s">
        <v>100</v>
      </c>
      <c r="I585" s="551" t="s">
        <v>2038</v>
      </c>
      <c r="J585" s="551" t="s">
        <v>2037</v>
      </c>
      <c r="K585" s="551" t="s">
        <v>1357</v>
      </c>
      <c r="L585" s="551" t="s">
        <v>100</v>
      </c>
      <c r="M585" s="551" t="s">
        <v>100</v>
      </c>
    </row>
    <row r="586" spans="1:13" ht="15">
      <c r="A586" s="551" t="s">
        <v>1359</v>
      </c>
      <c r="B586" s="551" t="s">
        <v>1360</v>
      </c>
      <c r="C586" s="552">
        <v>0</v>
      </c>
      <c r="D586" s="552">
        <v>0</v>
      </c>
      <c r="E586" s="551" t="s">
        <v>872</v>
      </c>
      <c r="F586" s="551" t="s">
        <v>100</v>
      </c>
      <c r="G586" s="551" t="s">
        <v>1549</v>
      </c>
      <c r="H586" s="551" t="s">
        <v>100</v>
      </c>
      <c r="I586" s="551" t="s">
        <v>2038</v>
      </c>
      <c r="J586" s="551" t="s">
        <v>2037</v>
      </c>
      <c r="K586" s="551" t="s">
        <v>1359</v>
      </c>
      <c r="L586" s="551" t="s">
        <v>100</v>
      </c>
      <c r="M586" s="551" t="s">
        <v>100</v>
      </c>
    </row>
    <row r="587" spans="1:13" ht="15">
      <c r="A587" s="551" t="s">
        <v>1361</v>
      </c>
      <c r="B587" s="551" t="s">
        <v>1362</v>
      </c>
      <c r="C587" s="552">
        <v>0</v>
      </c>
      <c r="D587" s="552">
        <v>16754.41</v>
      </c>
      <c r="E587" s="551" t="s">
        <v>872</v>
      </c>
      <c r="F587" s="551" t="s">
        <v>100</v>
      </c>
      <c r="G587" s="551" t="s">
        <v>1549</v>
      </c>
      <c r="H587" s="551" t="s">
        <v>100</v>
      </c>
      <c r="I587" s="551" t="s">
        <v>2038</v>
      </c>
      <c r="J587" s="551" t="s">
        <v>2037</v>
      </c>
      <c r="K587" s="551" t="s">
        <v>1361</v>
      </c>
      <c r="L587" s="551" t="s">
        <v>100</v>
      </c>
      <c r="M587" s="551" t="s">
        <v>100</v>
      </c>
    </row>
    <row r="588" spans="1:13" ht="15">
      <c r="A588" s="551" t="s">
        <v>1363</v>
      </c>
      <c r="B588" s="551" t="s">
        <v>1364</v>
      </c>
      <c r="C588" s="552">
        <v>0</v>
      </c>
      <c r="D588" s="552">
        <v>0</v>
      </c>
      <c r="E588" s="551" t="s">
        <v>872</v>
      </c>
      <c r="F588" s="551" t="s">
        <v>100</v>
      </c>
      <c r="G588" s="551" t="s">
        <v>1549</v>
      </c>
      <c r="H588" s="551" t="s">
        <v>100</v>
      </c>
      <c r="I588" s="551" t="s">
        <v>2038</v>
      </c>
      <c r="J588" s="551" t="s">
        <v>2037</v>
      </c>
      <c r="K588" s="551" t="s">
        <v>1363</v>
      </c>
      <c r="L588" s="551" t="s">
        <v>100</v>
      </c>
      <c r="M588" s="551" t="s">
        <v>100</v>
      </c>
    </row>
    <row r="589" spans="1:13" ht="15">
      <c r="A589" s="551" t="s">
        <v>1365</v>
      </c>
      <c r="B589" s="551" t="s">
        <v>1366</v>
      </c>
      <c r="C589" s="552">
        <v>0</v>
      </c>
      <c r="D589" s="552">
        <v>0</v>
      </c>
      <c r="E589" s="551" t="s">
        <v>872</v>
      </c>
      <c r="F589" s="551" t="s">
        <v>100</v>
      </c>
      <c r="G589" s="551" t="s">
        <v>1549</v>
      </c>
      <c r="H589" s="551" t="s">
        <v>100</v>
      </c>
      <c r="I589" s="551" t="s">
        <v>2038</v>
      </c>
      <c r="J589" s="551" t="s">
        <v>2037</v>
      </c>
      <c r="K589" s="551" t="s">
        <v>1365</v>
      </c>
      <c r="L589" s="551" t="s">
        <v>100</v>
      </c>
      <c r="M589" s="551" t="s">
        <v>100</v>
      </c>
    </row>
    <row r="590" spans="1:13" ht="15">
      <c r="A590" s="551" t="s">
        <v>1367</v>
      </c>
      <c r="B590" s="551" t="s">
        <v>495</v>
      </c>
      <c r="C590" s="552">
        <v>0</v>
      </c>
      <c r="D590" s="552">
        <v>0</v>
      </c>
      <c r="E590" s="551" t="s">
        <v>872</v>
      </c>
      <c r="F590" s="551" t="s">
        <v>100</v>
      </c>
      <c r="G590" s="551" t="s">
        <v>1549</v>
      </c>
      <c r="H590" s="551" t="s">
        <v>100</v>
      </c>
      <c r="I590" s="551" t="s">
        <v>2038</v>
      </c>
      <c r="J590" s="551" t="s">
        <v>2037</v>
      </c>
      <c r="K590" s="551" t="s">
        <v>1367</v>
      </c>
      <c r="L590" s="551" t="s">
        <v>100</v>
      </c>
      <c r="M590" s="551" t="s">
        <v>100</v>
      </c>
    </row>
    <row r="591" spans="1:13" ht="15">
      <c r="A591" s="551" t="s">
        <v>1368</v>
      </c>
      <c r="B591" s="551" t="s">
        <v>1369</v>
      </c>
      <c r="C591" s="552">
        <v>0</v>
      </c>
      <c r="D591" s="552">
        <v>0</v>
      </c>
      <c r="E591" s="551" t="s">
        <v>872</v>
      </c>
      <c r="F591" s="551" t="s">
        <v>100</v>
      </c>
      <c r="G591" s="551" t="s">
        <v>1549</v>
      </c>
      <c r="H591" s="551" t="s">
        <v>100</v>
      </c>
      <c r="I591" s="551" t="s">
        <v>2038</v>
      </c>
      <c r="J591" s="551" t="s">
        <v>2037</v>
      </c>
      <c r="K591" s="551" t="s">
        <v>1368</v>
      </c>
      <c r="L591" s="551" t="s">
        <v>100</v>
      </c>
      <c r="M591" s="551" t="s">
        <v>100</v>
      </c>
    </row>
    <row r="592" spans="1:13" ht="15">
      <c r="A592" s="551" t="s">
        <v>1370</v>
      </c>
      <c r="B592" s="551" t="s">
        <v>1301</v>
      </c>
      <c r="C592" s="552">
        <v>0</v>
      </c>
      <c r="D592" s="552">
        <v>0</v>
      </c>
      <c r="E592" s="551" t="s">
        <v>872</v>
      </c>
      <c r="F592" s="551" t="s">
        <v>100</v>
      </c>
      <c r="G592" s="551" t="s">
        <v>1549</v>
      </c>
      <c r="H592" s="551" t="s">
        <v>100</v>
      </c>
      <c r="I592" s="551" t="s">
        <v>2038</v>
      </c>
      <c r="J592" s="551" t="s">
        <v>2037</v>
      </c>
      <c r="K592" s="551" t="s">
        <v>1370</v>
      </c>
      <c r="L592" s="551" t="s">
        <v>100</v>
      </c>
      <c r="M592" s="551" t="s">
        <v>100</v>
      </c>
    </row>
    <row r="593" spans="1:13" ht="15">
      <c r="A593" s="551" t="s">
        <v>1371</v>
      </c>
      <c r="B593" s="551" t="s">
        <v>1372</v>
      </c>
      <c r="C593" s="552">
        <v>0</v>
      </c>
      <c r="D593" s="552">
        <v>9275.66</v>
      </c>
      <c r="E593" s="551" t="s">
        <v>872</v>
      </c>
      <c r="F593" s="551" t="s">
        <v>100</v>
      </c>
      <c r="G593" s="551" t="s">
        <v>1549</v>
      </c>
      <c r="H593" s="551" t="s">
        <v>100</v>
      </c>
      <c r="I593" s="551" t="s">
        <v>2038</v>
      </c>
      <c r="J593" s="551" t="s">
        <v>2037</v>
      </c>
      <c r="K593" s="551" t="s">
        <v>1371</v>
      </c>
      <c r="L593" s="551" t="s">
        <v>100</v>
      </c>
      <c r="M593" s="551" t="s">
        <v>100</v>
      </c>
    </row>
    <row r="594" spans="1:13" ht="15">
      <c r="A594" s="551" t="s">
        <v>1373</v>
      </c>
      <c r="B594" s="551" t="s">
        <v>1374</v>
      </c>
      <c r="C594" s="552">
        <v>13440</v>
      </c>
      <c r="D594" s="552">
        <v>344957.77</v>
      </c>
      <c r="E594" s="551" t="s">
        <v>872</v>
      </c>
      <c r="F594" s="551" t="s">
        <v>100</v>
      </c>
      <c r="G594" s="551" t="s">
        <v>1550</v>
      </c>
      <c r="H594" s="551" t="s">
        <v>1375</v>
      </c>
      <c r="I594" s="551" t="s">
        <v>2035</v>
      </c>
      <c r="J594" s="551" t="s">
        <v>100</v>
      </c>
      <c r="K594" s="551" t="s">
        <v>100</v>
      </c>
      <c r="L594" s="551" t="s">
        <v>100</v>
      </c>
      <c r="M594" s="551" t="s">
        <v>100</v>
      </c>
    </row>
    <row r="595" spans="1:13" ht="15">
      <c r="A595" s="551" t="s">
        <v>1376</v>
      </c>
      <c r="B595" s="551" t="s">
        <v>1377</v>
      </c>
      <c r="C595" s="552">
        <v>0</v>
      </c>
      <c r="D595" s="552">
        <v>0</v>
      </c>
      <c r="E595" s="551" t="s">
        <v>872</v>
      </c>
      <c r="F595" s="551" t="s">
        <v>100</v>
      </c>
      <c r="G595" s="551" t="s">
        <v>1548</v>
      </c>
      <c r="H595" s="551" t="s">
        <v>100</v>
      </c>
      <c r="I595" s="551" t="s">
        <v>2035</v>
      </c>
      <c r="J595" s="551" t="s">
        <v>100</v>
      </c>
      <c r="K595" s="551" t="s">
        <v>100</v>
      </c>
      <c r="L595" s="551" t="s">
        <v>100</v>
      </c>
      <c r="M595" s="551" t="s">
        <v>100</v>
      </c>
    </row>
    <row r="596" spans="1:13" ht="15">
      <c r="A596" s="551" t="s">
        <v>1378</v>
      </c>
      <c r="B596" s="551" t="s">
        <v>1379</v>
      </c>
      <c r="C596" s="552">
        <v>0</v>
      </c>
      <c r="D596" s="552">
        <v>0</v>
      </c>
      <c r="E596" s="551" t="s">
        <v>872</v>
      </c>
      <c r="F596" s="551" t="s">
        <v>100</v>
      </c>
      <c r="G596" s="551" t="s">
        <v>1549</v>
      </c>
      <c r="H596" s="551" t="s">
        <v>100</v>
      </c>
      <c r="I596" s="551" t="s">
        <v>2038</v>
      </c>
      <c r="J596" s="551" t="s">
        <v>2037</v>
      </c>
      <c r="K596" s="551" t="s">
        <v>1378</v>
      </c>
      <c r="L596" s="551" t="s">
        <v>100</v>
      </c>
      <c r="M596" s="551" t="s">
        <v>100</v>
      </c>
    </row>
    <row r="597" spans="1:13" ht="15">
      <c r="A597" s="551" t="s">
        <v>1380</v>
      </c>
      <c r="B597" s="551" t="s">
        <v>1381</v>
      </c>
      <c r="C597" s="552">
        <v>0</v>
      </c>
      <c r="D597" s="552">
        <v>0</v>
      </c>
      <c r="E597" s="551" t="s">
        <v>872</v>
      </c>
      <c r="F597" s="551" t="s">
        <v>100</v>
      </c>
      <c r="G597" s="551" t="s">
        <v>1550</v>
      </c>
      <c r="H597" s="551" t="s">
        <v>1382</v>
      </c>
      <c r="I597" s="551" t="s">
        <v>2035</v>
      </c>
      <c r="J597" s="551" t="s">
        <v>100</v>
      </c>
      <c r="K597" s="551" t="s">
        <v>100</v>
      </c>
      <c r="L597" s="551" t="s">
        <v>100</v>
      </c>
      <c r="M597" s="551" t="s">
        <v>100</v>
      </c>
    </row>
    <row r="598" spans="1:13" ht="15">
      <c r="A598" s="551" t="s">
        <v>1383</v>
      </c>
      <c r="B598" s="551" t="s">
        <v>1384</v>
      </c>
      <c r="C598" s="552">
        <v>0</v>
      </c>
      <c r="D598" s="552">
        <v>0</v>
      </c>
      <c r="E598" s="551" t="s">
        <v>872</v>
      </c>
      <c r="F598" s="551" t="s">
        <v>100</v>
      </c>
      <c r="G598" s="551" t="s">
        <v>1548</v>
      </c>
      <c r="H598" s="551" t="s">
        <v>100</v>
      </c>
      <c r="I598" s="551" t="s">
        <v>2035</v>
      </c>
      <c r="J598" s="551" t="s">
        <v>100</v>
      </c>
      <c r="K598" s="551" t="s">
        <v>100</v>
      </c>
      <c r="L598" s="551" t="s">
        <v>100</v>
      </c>
      <c r="M598" s="551" t="s">
        <v>100</v>
      </c>
    </row>
    <row r="599" spans="1:13" ht="15">
      <c r="A599" s="551" t="s">
        <v>1385</v>
      </c>
      <c r="B599" s="551" t="s">
        <v>1386</v>
      </c>
      <c r="C599" s="552">
        <v>0</v>
      </c>
      <c r="D599" s="552">
        <v>0</v>
      </c>
      <c r="E599" s="551" t="s">
        <v>872</v>
      </c>
      <c r="F599" s="551" t="s">
        <v>100</v>
      </c>
      <c r="G599" s="551" t="s">
        <v>1549</v>
      </c>
      <c r="H599" s="551" t="s">
        <v>100</v>
      </c>
      <c r="I599" s="551" t="s">
        <v>2035</v>
      </c>
      <c r="J599" s="551" t="s">
        <v>100</v>
      </c>
      <c r="K599" s="551" t="s">
        <v>100</v>
      </c>
      <c r="L599" s="551" t="s">
        <v>100</v>
      </c>
      <c r="M599" s="551" t="s">
        <v>100</v>
      </c>
    </row>
    <row r="600" spans="1:13" ht="15">
      <c r="A600" s="551" t="s">
        <v>1387</v>
      </c>
      <c r="B600" s="551" t="s">
        <v>1388</v>
      </c>
      <c r="C600" s="552">
        <v>0</v>
      </c>
      <c r="D600" s="552">
        <v>0</v>
      </c>
      <c r="E600" s="551" t="s">
        <v>872</v>
      </c>
      <c r="F600" s="551" t="s">
        <v>100</v>
      </c>
      <c r="G600" s="551" t="s">
        <v>1549</v>
      </c>
      <c r="H600" s="551" t="s">
        <v>100</v>
      </c>
      <c r="I600" s="551" t="s">
        <v>2035</v>
      </c>
      <c r="J600" s="551" t="s">
        <v>100</v>
      </c>
      <c r="K600" s="551" t="s">
        <v>100</v>
      </c>
      <c r="L600" s="551" t="s">
        <v>100</v>
      </c>
      <c r="M600" s="551" t="s">
        <v>100</v>
      </c>
    </row>
    <row r="601" spans="1:13" ht="15">
      <c r="A601" s="551" t="s">
        <v>1389</v>
      </c>
      <c r="B601" s="551" t="s">
        <v>1390</v>
      </c>
      <c r="C601" s="552">
        <v>0</v>
      </c>
      <c r="D601" s="552">
        <v>0</v>
      </c>
      <c r="E601" s="551" t="s">
        <v>872</v>
      </c>
      <c r="F601" s="551" t="s">
        <v>100</v>
      </c>
      <c r="G601" s="551" t="s">
        <v>1549</v>
      </c>
      <c r="H601" s="551" t="s">
        <v>100</v>
      </c>
      <c r="I601" s="551" t="s">
        <v>2038</v>
      </c>
      <c r="J601" s="551" t="s">
        <v>2037</v>
      </c>
      <c r="K601" s="551" t="s">
        <v>1345</v>
      </c>
      <c r="L601" s="551" t="s">
        <v>100</v>
      </c>
      <c r="M601" s="551" t="s">
        <v>100</v>
      </c>
    </row>
    <row r="602" spans="1:13" ht="15">
      <c r="A602" s="551" t="s">
        <v>1391</v>
      </c>
      <c r="B602" s="551" t="s">
        <v>1392</v>
      </c>
      <c r="C602" s="552">
        <v>0</v>
      </c>
      <c r="D602" s="552">
        <v>0</v>
      </c>
      <c r="E602" s="551" t="s">
        <v>872</v>
      </c>
      <c r="F602" s="551" t="s">
        <v>100</v>
      </c>
      <c r="G602" s="551" t="s">
        <v>1550</v>
      </c>
      <c r="H602" s="551" t="s">
        <v>1393</v>
      </c>
      <c r="I602" s="551" t="s">
        <v>2035</v>
      </c>
      <c r="J602" s="551" t="s">
        <v>100</v>
      </c>
      <c r="K602" s="551" t="s">
        <v>100</v>
      </c>
      <c r="L602" s="551" t="s">
        <v>100</v>
      </c>
      <c r="M602" s="551" t="s">
        <v>100</v>
      </c>
    </row>
    <row r="603" spans="1:13" ht="15">
      <c r="A603" s="551" t="s">
        <v>1394</v>
      </c>
      <c r="B603" s="551" t="s">
        <v>1152</v>
      </c>
      <c r="C603" s="552">
        <v>439166.73</v>
      </c>
      <c r="D603" s="552">
        <v>2262002.2799999998</v>
      </c>
      <c r="E603" s="551" t="s">
        <v>872</v>
      </c>
      <c r="F603" s="551" t="s">
        <v>100</v>
      </c>
      <c r="G603" s="551" t="s">
        <v>1550</v>
      </c>
      <c r="H603" s="551" t="s">
        <v>1395</v>
      </c>
      <c r="I603" s="551" t="s">
        <v>2035</v>
      </c>
      <c r="J603" s="551" t="s">
        <v>100</v>
      </c>
      <c r="K603" s="551" t="s">
        <v>100</v>
      </c>
      <c r="L603" s="551" t="s">
        <v>100</v>
      </c>
      <c r="M603" s="551" t="s">
        <v>100</v>
      </c>
    </row>
    <row r="604" spans="1:13" ht="15">
      <c r="A604" s="551" t="s">
        <v>1396</v>
      </c>
      <c r="B604" s="551" t="s">
        <v>1397</v>
      </c>
      <c r="C604" s="552">
        <v>-4027833.27</v>
      </c>
      <c r="D604" s="552">
        <v>-2350949.7000000002</v>
      </c>
      <c r="E604" s="551" t="s">
        <v>872</v>
      </c>
      <c r="F604" s="551" t="s">
        <v>100</v>
      </c>
      <c r="G604" s="551" t="s">
        <v>1550</v>
      </c>
      <c r="H604" s="551" t="s">
        <v>1398</v>
      </c>
      <c r="I604" s="551" t="s">
        <v>2035</v>
      </c>
      <c r="J604" s="551" t="s">
        <v>100</v>
      </c>
      <c r="K604" s="551" t="s">
        <v>100</v>
      </c>
      <c r="L604" s="551" t="s">
        <v>100</v>
      </c>
      <c r="M604" s="551" t="s">
        <v>100</v>
      </c>
    </row>
    <row r="605" spans="1:13" ht="15">
      <c r="A605" s="551" t="s">
        <v>1399</v>
      </c>
      <c r="B605" s="551" t="s">
        <v>1400</v>
      </c>
      <c r="C605" s="552">
        <v>0</v>
      </c>
      <c r="D605" s="552">
        <v>0</v>
      </c>
      <c r="E605" s="551" t="s">
        <v>872</v>
      </c>
      <c r="F605" s="551" t="s">
        <v>100</v>
      </c>
      <c r="G605" s="551" t="s">
        <v>1548</v>
      </c>
      <c r="H605" s="551" t="s">
        <v>100</v>
      </c>
      <c r="I605" s="551" t="s">
        <v>2035</v>
      </c>
      <c r="J605" s="551" t="s">
        <v>100</v>
      </c>
      <c r="K605" s="551" t="s">
        <v>100</v>
      </c>
      <c r="L605" s="551" t="s">
        <v>100</v>
      </c>
      <c r="M605" s="551" t="s">
        <v>100</v>
      </c>
    </row>
    <row r="606" spans="1:13" ht="15">
      <c r="A606" s="551" t="s">
        <v>1401</v>
      </c>
      <c r="B606" s="551" t="s">
        <v>1402</v>
      </c>
      <c r="C606" s="552">
        <v>-13951.33</v>
      </c>
      <c r="D606" s="552">
        <v>-17631.330000000002</v>
      </c>
      <c r="E606" s="551" t="s">
        <v>872</v>
      </c>
      <c r="F606" s="551" t="s">
        <v>100</v>
      </c>
      <c r="G606" s="551" t="s">
        <v>1549</v>
      </c>
      <c r="H606" s="551" t="s">
        <v>100</v>
      </c>
      <c r="I606" s="551" t="s">
        <v>2035</v>
      </c>
      <c r="J606" s="551" t="s">
        <v>100</v>
      </c>
      <c r="K606" s="551" t="s">
        <v>100</v>
      </c>
      <c r="L606" s="551" t="s">
        <v>100</v>
      </c>
      <c r="M606" s="551" t="s">
        <v>100</v>
      </c>
    </row>
    <row r="607" spans="1:13" ht="15">
      <c r="A607" s="551" t="s">
        <v>1403</v>
      </c>
      <c r="B607" s="551" t="s">
        <v>1404</v>
      </c>
      <c r="C607" s="552">
        <v>-9243.25</v>
      </c>
      <c r="D607" s="552">
        <v>-9243.25</v>
      </c>
      <c r="E607" s="551" t="s">
        <v>872</v>
      </c>
      <c r="F607" s="551" t="s">
        <v>100</v>
      </c>
      <c r="G607" s="551" t="s">
        <v>1549</v>
      </c>
      <c r="H607" s="551" t="s">
        <v>100</v>
      </c>
      <c r="I607" s="551" t="s">
        <v>2038</v>
      </c>
      <c r="J607" s="551" t="s">
        <v>2037</v>
      </c>
      <c r="K607" s="551" t="s">
        <v>1403</v>
      </c>
      <c r="L607" s="551" t="s">
        <v>100</v>
      </c>
      <c r="M607" s="551" t="s">
        <v>100</v>
      </c>
    </row>
    <row r="608" spans="1:13" ht="15">
      <c r="A608" s="551" t="s">
        <v>1405</v>
      </c>
      <c r="B608" s="551" t="s">
        <v>1406</v>
      </c>
      <c r="C608" s="552">
        <v>17828</v>
      </c>
      <c r="D608" s="552">
        <v>-0.8</v>
      </c>
      <c r="E608" s="551" t="s">
        <v>872</v>
      </c>
      <c r="F608" s="551" t="s">
        <v>100</v>
      </c>
      <c r="G608" s="551" t="s">
        <v>1549</v>
      </c>
      <c r="H608" s="551" t="s">
        <v>100</v>
      </c>
      <c r="I608" s="551" t="s">
        <v>2035</v>
      </c>
      <c r="J608" s="551" t="s">
        <v>100</v>
      </c>
      <c r="K608" s="551" t="s">
        <v>100</v>
      </c>
      <c r="L608" s="551" t="s">
        <v>100</v>
      </c>
      <c r="M608" s="551" t="s">
        <v>100</v>
      </c>
    </row>
    <row r="609" spans="1:13" ht="15">
      <c r="A609" s="551" t="s">
        <v>1407</v>
      </c>
      <c r="B609" s="551" t="s">
        <v>1408</v>
      </c>
      <c r="C609" s="552">
        <v>-5366.58</v>
      </c>
      <c r="D609" s="552">
        <v>-26875.38</v>
      </c>
      <c r="E609" s="551" t="s">
        <v>872</v>
      </c>
      <c r="F609" s="551" t="s">
        <v>100</v>
      </c>
      <c r="G609" s="551" t="s">
        <v>1550</v>
      </c>
      <c r="H609" s="551" t="s">
        <v>1409</v>
      </c>
      <c r="I609" s="551" t="s">
        <v>2035</v>
      </c>
      <c r="J609" s="551" t="s">
        <v>100</v>
      </c>
      <c r="K609" s="551" t="s">
        <v>100</v>
      </c>
      <c r="L609" s="551" t="s">
        <v>100</v>
      </c>
      <c r="M609" s="551" t="s">
        <v>100</v>
      </c>
    </row>
    <row r="610" spans="1:13" ht="15">
      <c r="A610" s="551" t="s">
        <v>1410</v>
      </c>
      <c r="B610" s="551" t="s">
        <v>1411</v>
      </c>
      <c r="C610" s="552">
        <v>0</v>
      </c>
      <c r="D610" s="552">
        <v>0</v>
      </c>
      <c r="E610" s="551" t="s">
        <v>872</v>
      </c>
      <c r="F610" s="551" t="s">
        <v>100</v>
      </c>
      <c r="G610" s="551" t="s">
        <v>1548</v>
      </c>
      <c r="H610" s="551" t="s">
        <v>100</v>
      </c>
      <c r="I610" s="551" t="s">
        <v>2035</v>
      </c>
      <c r="J610" s="551" t="s">
        <v>100</v>
      </c>
      <c r="K610" s="551" t="s">
        <v>100</v>
      </c>
      <c r="L610" s="551" t="s">
        <v>100</v>
      </c>
      <c r="M610" s="551" t="s">
        <v>100</v>
      </c>
    </row>
    <row r="611" spans="1:13" ht="15">
      <c r="A611" s="551" t="s">
        <v>1412</v>
      </c>
      <c r="B611" s="551" t="s">
        <v>1413</v>
      </c>
      <c r="C611" s="552">
        <v>0</v>
      </c>
      <c r="D611" s="552">
        <v>0</v>
      </c>
      <c r="E611" s="551" t="s">
        <v>872</v>
      </c>
      <c r="F611" s="551" t="s">
        <v>100</v>
      </c>
      <c r="G611" s="551" t="s">
        <v>1549</v>
      </c>
      <c r="H611" s="551" t="s">
        <v>100</v>
      </c>
      <c r="I611" s="551" t="s">
        <v>2035</v>
      </c>
      <c r="J611" s="551" t="s">
        <v>100</v>
      </c>
      <c r="K611" s="551" t="s">
        <v>100</v>
      </c>
      <c r="L611" s="551" t="s">
        <v>100</v>
      </c>
      <c r="M611" s="551" t="s">
        <v>100</v>
      </c>
    </row>
    <row r="612" spans="1:13" ht="15">
      <c r="A612" s="551" t="s">
        <v>1414</v>
      </c>
      <c r="B612" s="551" t="s">
        <v>1415</v>
      </c>
      <c r="C612" s="552">
        <v>4295.49</v>
      </c>
      <c r="D612" s="552">
        <v>4295.49</v>
      </c>
      <c r="E612" s="551" t="s">
        <v>872</v>
      </c>
      <c r="F612" s="551" t="s">
        <v>100</v>
      </c>
      <c r="G612" s="551" t="s">
        <v>1549</v>
      </c>
      <c r="H612" s="551" t="s">
        <v>100</v>
      </c>
      <c r="I612" s="551" t="s">
        <v>2035</v>
      </c>
      <c r="J612" s="551" t="s">
        <v>100</v>
      </c>
      <c r="K612" s="551" t="s">
        <v>100</v>
      </c>
      <c r="L612" s="551" t="s">
        <v>100</v>
      </c>
      <c r="M612" s="551" t="s">
        <v>100</v>
      </c>
    </row>
    <row r="613" spans="1:13" ht="15">
      <c r="A613" s="551" t="s">
        <v>1416</v>
      </c>
      <c r="B613" s="551" t="s">
        <v>1417</v>
      </c>
      <c r="C613" s="552">
        <v>-1042</v>
      </c>
      <c r="D613" s="552">
        <v>0.19</v>
      </c>
      <c r="E613" s="551" t="s">
        <v>872</v>
      </c>
      <c r="F613" s="551" t="s">
        <v>100</v>
      </c>
      <c r="G613" s="551" t="s">
        <v>1549</v>
      </c>
      <c r="H613" s="551" t="s">
        <v>100</v>
      </c>
      <c r="I613" s="551" t="s">
        <v>2035</v>
      </c>
      <c r="J613" s="551" t="s">
        <v>100</v>
      </c>
      <c r="K613" s="551" t="s">
        <v>100</v>
      </c>
      <c r="L613" s="551" t="s">
        <v>100</v>
      </c>
      <c r="M613" s="551" t="s">
        <v>100</v>
      </c>
    </row>
    <row r="614" spans="1:13" ht="15">
      <c r="A614" s="551" t="s">
        <v>1418</v>
      </c>
      <c r="B614" s="551" t="s">
        <v>515</v>
      </c>
      <c r="C614" s="552">
        <v>-125482.19</v>
      </c>
      <c r="D614" s="552">
        <v>-582473.16</v>
      </c>
      <c r="E614" s="551" t="s">
        <v>872</v>
      </c>
      <c r="F614" s="551" t="s">
        <v>100</v>
      </c>
      <c r="G614" s="551" t="s">
        <v>1549</v>
      </c>
      <c r="H614" s="551" t="s">
        <v>100</v>
      </c>
      <c r="I614" s="551" t="s">
        <v>2035</v>
      </c>
      <c r="J614" s="551" t="s">
        <v>100</v>
      </c>
      <c r="K614" s="551" t="s">
        <v>100</v>
      </c>
      <c r="L614" s="551" t="s">
        <v>100</v>
      </c>
      <c r="M614" s="551" t="s">
        <v>100</v>
      </c>
    </row>
    <row r="615" spans="1:13" ht="15">
      <c r="A615" s="551" t="s">
        <v>1629</v>
      </c>
      <c r="B615" s="551" t="s">
        <v>1630</v>
      </c>
      <c r="C615" s="552">
        <v>-5459.68</v>
      </c>
      <c r="D615" s="552">
        <v>-1189019.52</v>
      </c>
      <c r="E615" s="551" t="s">
        <v>872</v>
      </c>
      <c r="F615" s="551" t="s">
        <v>100</v>
      </c>
      <c r="G615" s="551" t="s">
        <v>1549</v>
      </c>
      <c r="H615" s="551" t="s">
        <v>100</v>
      </c>
      <c r="I615" s="551" t="s">
        <v>2035</v>
      </c>
      <c r="J615" s="551" t="s">
        <v>100</v>
      </c>
      <c r="K615" s="551" t="s">
        <v>100</v>
      </c>
      <c r="L615" s="551" t="s">
        <v>100</v>
      </c>
      <c r="M615" s="551" t="s">
        <v>100</v>
      </c>
    </row>
    <row r="616" spans="1:13" ht="15">
      <c r="A616" s="551" t="s">
        <v>1631</v>
      </c>
      <c r="B616" s="551" t="s">
        <v>1632</v>
      </c>
      <c r="C616" s="552">
        <v>0</v>
      </c>
      <c r="D616" s="552">
        <v>-48978.36</v>
      </c>
      <c r="E616" s="551" t="s">
        <v>872</v>
      </c>
      <c r="F616" s="551" t="s">
        <v>100</v>
      </c>
      <c r="G616" s="551" t="s">
        <v>1549</v>
      </c>
      <c r="H616" s="551" t="s">
        <v>100</v>
      </c>
      <c r="I616" s="551" t="s">
        <v>2035</v>
      </c>
      <c r="J616" s="551" t="s">
        <v>100</v>
      </c>
      <c r="K616" s="551" t="s">
        <v>100</v>
      </c>
      <c r="L616" s="551" t="s">
        <v>100</v>
      </c>
      <c r="M616" s="551" t="s">
        <v>100</v>
      </c>
    </row>
    <row r="617" spans="1:13" ht="15">
      <c r="A617" s="551" t="s">
        <v>1419</v>
      </c>
      <c r="B617" s="551" t="s">
        <v>1420</v>
      </c>
      <c r="C617" s="552">
        <v>-127688.38</v>
      </c>
      <c r="D617" s="552">
        <v>-1816175.36</v>
      </c>
      <c r="E617" s="551" t="s">
        <v>872</v>
      </c>
      <c r="F617" s="551" t="s">
        <v>100</v>
      </c>
      <c r="G617" s="551" t="s">
        <v>1550</v>
      </c>
      <c r="H617" s="551" t="s">
        <v>1421</v>
      </c>
      <c r="I617" s="551" t="s">
        <v>2035</v>
      </c>
      <c r="J617" s="551" t="s">
        <v>100</v>
      </c>
      <c r="K617" s="551" t="s">
        <v>100</v>
      </c>
      <c r="L617" s="551" t="s">
        <v>100</v>
      </c>
      <c r="M617" s="551" t="s">
        <v>100</v>
      </c>
    </row>
    <row r="618" spans="1:13" ht="15">
      <c r="A618" s="551" t="s">
        <v>1422</v>
      </c>
      <c r="B618" s="551" t="s">
        <v>1423</v>
      </c>
      <c r="C618" s="552">
        <v>0</v>
      </c>
      <c r="D618" s="552">
        <v>0</v>
      </c>
      <c r="E618" s="551" t="s">
        <v>872</v>
      </c>
      <c r="F618" s="551" t="s">
        <v>100</v>
      </c>
      <c r="G618" s="551" t="s">
        <v>1548</v>
      </c>
      <c r="H618" s="551" t="s">
        <v>100</v>
      </c>
      <c r="I618" s="551" t="s">
        <v>2035</v>
      </c>
      <c r="J618" s="551" t="s">
        <v>100</v>
      </c>
      <c r="K618" s="551" t="s">
        <v>100</v>
      </c>
      <c r="L618" s="551" t="s">
        <v>100</v>
      </c>
      <c r="M618" s="551" t="s">
        <v>100</v>
      </c>
    </row>
    <row r="619" spans="1:13" ht="15">
      <c r="A619" s="551" t="s">
        <v>1424</v>
      </c>
      <c r="B619" s="551" t="s">
        <v>1425</v>
      </c>
      <c r="C619" s="552">
        <v>226.57</v>
      </c>
      <c r="D619" s="552">
        <v>0</v>
      </c>
      <c r="E619" s="551" t="s">
        <v>872</v>
      </c>
      <c r="F619" s="551" t="s">
        <v>100</v>
      </c>
      <c r="G619" s="551" t="s">
        <v>1549</v>
      </c>
      <c r="H619" s="551" t="s">
        <v>100</v>
      </c>
      <c r="I619" s="551" t="s">
        <v>2035</v>
      </c>
      <c r="J619" s="551" t="s">
        <v>100</v>
      </c>
      <c r="K619" s="551" t="s">
        <v>100</v>
      </c>
      <c r="L619" s="551" t="s">
        <v>100</v>
      </c>
      <c r="M619" s="551" t="s">
        <v>100</v>
      </c>
    </row>
    <row r="620" spans="1:13" ht="15">
      <c r="A620" s="551" t="s">
        <v>1426</v>
      </c>
      <c r="B620" s="551" t="s">
        <v>1427</v>
      </c>
      <c r="C620" s="552">
        <v>21178.53</v>
      </c>
      <c r="D620" s="552">
        <v>31.34</v>
      </c>
      <c r="E620" s="551" t="s">
        <v>872</v>
      </c>
      <c r="F620" s="551" t="s">
        <v>100</v>
      </c>
      <c r="G620" s="551" t="s">
        <v>1549</v>
      </c>
      <c r="H620" s="551" t="s">
        <v>100</v>
      </c>
      <c r="I620" s="551" t="s">
        <v>2036</v>
      </c>
      <c r="J620" s="551" t="s">
        <v>2037</v>
      </c>
      <c r="K620" s="551" t="s">
        <v>1426</v>
      </c>
      <c r="L620" s="551" t="s">
        <v>100</v>
      </c>
      <c r="M620" s="551" t="s">
        <v>100</v>
      </c>
    </row>
    <row r="621" spans="1:13" ht="15">
      <c r="A621" s="551" t="s">
        <v>1428</v>
      </c>
      <c r="B621" s="551" t="s">
        <v>1429</v>
      </c>
      <c r="C621" s="552">
        <v>-4304.5200000000004</v>
      </c>
      <c r="D621" s="552">
        <v>-173818.23</v>
      </c>
      <c r="E621" s="551" t="s">
        <v>872</v>
      </c>
      <c r="F621" s="551" t="s">
        <v>100</v>
      </c>
      <c r="G621" s="551" t="s">
        <v>1549</v>
      </c>
      <c r="H621" s="551" t="s">
        <v>100</v>
      </c>
      <c r="I621" s="551" t="s">
        <v>2035</v>
      </c>
      <c r="J621" s="551" t="s">
        <v>100</v>
      </c>
      <c r="K621" s="551" t="s">
        <v>100</v>
      </c>
      <c r="L621" s="551" t="s">
        <v>100</v>
      </c>
      <c r="M621" s="551" t="s">
        <v>100</v>
      </c>
    </row>
    <row r="622" spans="1:13" ht="15">
      <c r="A622" s="551" t="s">
        <v>1430</v>
      </c>
      <c r="B622" s="551" t="s">
        <v>1431</v>
      </c>
      <c r="C622" s="552">
        <v>0</v>
      </c>
      <c r="D622" s="552">
        <v>0</v>
      </c>
      <c r="E622" s="551" t="s">
        <v>872</v>
      </c>
      <c r="F622" s="551" t="s">
        <v>100</v>
      </c>
      <c r="G622" s="551" t="s">
        <v>1549</v>
      </c>
      <c r="H622" s="551" t="s">
        <v>100</v>
      </c>
      <c r="I622" s="551" t="s">
        <v>2036</v>
      </c>
      <c r="J622" s="551" t="s">
        <v>2037</v>
      </c>
      <c r="K622" s="551" t="s">
        <v>1430</v>
      </c>
      <c r="L622" s="551" t="s">
        <v>100</v>
      </c>
      <c r="M622" s="551" t="s">
        <v>100</v>
      </c>
    </row>
    <row r="623" spans="1:13" ht="15">
      <c r="A623" s="551" t="s">
        <v>1432</v>
      </c>
      <c r="B623" s="551" t="s">
        <v>1433</v>
      </c>
      <c r="C623" s="552">
        <v>4510</v>
      </c>
      <c r="D623" s="552">
        <v>153353.06</v>
      </c>
      <c r="E623" s="551" t="s">
        <v>156</v>
      </c>
      <c r="F623" s="551" t="s">
        <v>100</v>
      </c>
      <c r="G623" s="551" t="s">
        <v>1549</v>
      </c>
      <c r="H623" s="551" t="s">
        <v>100</v>
      </c>
      <c r="I623" s="551" t="s">
        <v>2035</v>
      </c>
      <c r="J623" s="551" t="s">
        <v>100</v>
      </c>
      <c r="K623" s="551" t="s">
        <v>100</v>
      </c>
      <c r="L623" s="551" t="s">
        <v>100</v>
      </c>
      <c r="M623" s="551" t="s">
        <v>100</v>
      </c>
    </row>
    <row r="624" spans="1:13" ht="15">
      <c r="A624" s="551" t="s">
        <v>1434</v>
      </c>
      <c r="B624" s="551" t="s">
        <v>1435</v>
      </c>
      <c r="C624" s="552">
        <v>-4510</v>
      </c>
      <c r="D624" s="552">
        <v>-153353.06</v>
      </c>
      <c r="E624" s="551" t="s">
        <v>156</v>
      </c>
      <c r="F624" s="551" t="s">
        <v>100</v>
      </c>
      <c r="G624" s="551" t="s">
        <v>1549</v>
      </c>
      <c r="H624" s="551" t="s">
        <v>100</v>
      </c>
      <c r="I624" s="551" t="s">
        <v>2035</v>
      </c>
      <c r="J624" s="551" t="s">
        <v>100</v>
      </c>
      <c r="K624" s="551" t="s">
        <v>100</v>
      </c>
      <c r="L624" s="551" t="s">
        <v>100</v>
      </c>
      <c r="M624" s="551" t="s">
        <v>100</v>
      </c>
    </row>
    <row r="625" spans="1:13" ht="15">
      <c r="A625" s="551" t="s">
        <v>1436</v>
      </c>
      <c r="B625" s="551" t="s">
        <v>1437</v>
      </c>
      <c r="C625" s="552">
        <v>123567.5</v>
      </c>
      <c r="D625" s="552">
        <v>248246.5</v>
      </c>
      <c r="E625" s="551" t="s">
        <v>872</v>
      </c>
      <c r="F625" s="551" t="s">
        <v>100</v>
      </c>
      <c r="G625" s="551" t="s">
        <v>1549</v>
      </c>
      <c r="H625" s="551" t="s">
        <v>100</v>
      </c>
      <c r="I625" s="551" t="s">
        <v>2035</v>
      </c>
      <c r="J625" s="551" t="s">
        <v>100</v>
      </c>
      <c r="K625" s="551" t="s">
        <v>100</v>
      </c>
      <c r="L625" s="551" t="s">
        <v>100</v>
      </c>
      <c r="M625" s="551" t="s">
        <v>100</v>
      </c>
    </row>
    <row r="626" spans="1:13" ht="15">
      <c r="A626" s="551" t="s">
        <v>1438</v>
      </c>
      <c r="B626" s="551" t="s">
        <v>1439</v>
      </c>
      <c r="C626" s="552">
        <v>140668.07999999999</v>
      </c>
      <c r="D626" s="552">
        <v>74459.61</v>
      </c>
      <c r="E626" s="551" t="s">
        <v>872</v>
      </c>
      <c r="F626" s="551" t="s">
        <v>100</v>
      </c>
      <c r="G626" s="551" t="s">
        <v>1550</v>
      </c>
      <c r="H626" s="551" t="s">
        <v>1440</v>
      </c>
      <c r="I626" s="551" t="s">
        <v>2035</v>
      </c>
      <c r="J626" s="551" t="s">
        <v>100</v>
      </c>
      <c r="K626" s="551" t="s">
        <v>100</v>
      </c>
      <c r="L626" s="551" t="s">
        <v>100</v>
      </c>
      <c r="M626" s="551" t="s">
        <v>100</v>
      </c>
    </row>
    <row r="627" spans="1:13" ht="15">
      <c r="A627" s="551" t="s">
        <v>1441</v>
      </c>
      <c r="B627" s="551" t="s">
        <v>1442</v>
      </c>
      <c r="C627" s="552">
        <v>-3002639.27</v>
      </c>
      <c r="D627" s="552">
        <v>-5124585.9800000004</v>
      </c>
      <c r="E627" s="551" t="s">
        <v>872</v>
      </c>
      <c r="F627" s="551" t="s">
        <v>100</v>
      </c>
      <c r="G627" s="551" t="s">
        <v>1550</v>
      </c>
      <c r="H627" s="551" t="s">
        <v>1443</v>
      </c>
      <c r="I627" s="551" t="s">
        <v>2035</v>
      </c>
      <c r="J627" s="551" t="s">
        <v>100</v>
      </c>
      <c r="K627" s="551" t="s">
        <v>100</v>
      </c>
      <c r="L627" s="551" t="s">
        <v>100</v>
      </c>
      <c r="M627" s="551" t="s">
        <v>100</v>
      </c>
    </row>
    <row r="628" spans="1:13" ht="15">
      <c r="A628" s="551" t="s">
        <v>1444</v>
      </c>
      <c r="B628" s="551" t="s">
        <v>1445</v>
      </c>
      <c r="C628" s="552">
        <v>-2945681.88</v>
      </c>
      <c r="D628" s="552">
        <v>-69746463.790000007</v>
      </c>
      <c r="E628" s="551" t="s">
        <v>872</v>
      </c>
      <c r="F628" s="551" t="s">
        <v>100</v>
      </c>
      <c r="G628" s="551" t="s">
        <v>1550</v>
      </c>
      <c r="H628" s="551" t="s">
        <v>1446</v>
      </c>
      <c r="I628" s="551" t="s">
        <v>2035</v>
      </c>
      <c r="J628" s="551" t="s">
        <v>100</v>
      </c>
      <c r="K628" s="551" t="s">
        <v>100</v>
      </c>
      <c r="L628" s="551" t="s">
        <v>100</v>
      </c>
      <c r="M628" s="551" t="s">
        <v>100</v>
      </c>
    </row>
  </sheetData>
  <autoFilter ref="A1:M628" xr:uid="{02BD5648-2D41-4466-90EC-8DEC5BE157C9}">
    <filterColumn colId="6">
      <filters>
        <filter val="Bogføring"/>
        <filter val="Sluttotal"/>
        <filter val="Total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E51BB-F57D-44B2-86A4-112F5FBF480B}">
  <dimension ref="A1:D627"/>
  <sheetViews>
    <sheetView topLeftCell="A595" workbookViewId="0">
      <selection activeCell="C352" sqref="C352"/>
    </sheetView>
  </sheetViews>
  <sheetFormatPr baseColWidth="10" defaultColWidth="8.83203125" defaultRowHeight="14"/>
  <cols>
    <col min="1" max="1" width="6" bestFit="1" customWidth="1"/>
    <col min="2" max="2" width="31.33203125" bestFit="1" customWidth="1"/>
    <col min="3" max="3" width="11.83203125" bestFit="1" customWidth="1"/>
    <col min="4" max="4" width="12.83203125" bestFit="1" customWidth="1"/>
  </cols>
  <sheetData>
    <row r="1" spans="1:4" ht="15">
      <c r="A1" s="579" t="s">
        <v>154</v>
      </c>
      <c r="B1" s="580" t="s">
        <v>155</v>
      </c>
      <c r="C1" s="581">
        <v>0</v>
      </c>
      <c r="D1" s="582" t="s">
        <v>100</v>
      </c>
    </row>
    <row r="2" spans="1:4" ht="15">
      <c r="A2" s="583" t="s">
        <v>158</v>
      </c>
      <c r="B2" s="584" t="s">
        <v>159</v>
      </c>
      <c r="C2" s="585">
        <v>0</v>
      </c>
      <c r="D2" s="586" t="s">
        <v>100</v>
      </c>
    </row>
    <row r="3" spans="1:4" ht="15">
      <c r="A3" s="579" t="s">
        <v>160</v>
      </c>
      <c r="B3" s="580" t="s">
        <v>161</v>
      </c>
      <c r="C3" s="581">
        <v>-4034297.5</v>
      </c>
      <c r="D3" s="582" t="s">
        <v>100</v>
      </c>
    </row>
    <row r="4" spans="1:4" ht="15">
      <c r="A4" s="583" t="s">
        <v>163</v>
      </c>
      <c r="B4" s="584" t="s">
        <v>164</v>
      </c>
      <c r="C4" s="585">
        <v>0</v>
      </c>
      <c r="D4" s="586" t="s">
        <v>100</v>
      </c>
    </row>
    <row r="5" spans="1:4" ht="15">
      <c r="A5" s="579" t="s">
        <v>165</v>
      </c>
      <c r="B5" s="580" t="s">
        <v>166</v>
      </c>
      <c r="C5" s="581">
        <v>-24498.9</v>
      </c>
      <c r="D5" s="582" t="s">
        <v>100</v>
      </c>
    </row>
    <row r="6" spans="1:4" ht="15">
      <c r="A6" s="583" t="s">
        <v>167</v>
      </c>
      <c r="B6" s="584" t="s">
        <v>168</v>
      </c>
      <c r="C6" s="585">
        <v>-4058796.4</v>
      </c>
      <c r="D6" s="586" t="s">
        <v>170</v>
      </c>
    </row>
    <row r="7" spans="1:4" ht="15">
      <c r="A7" s="579" t="s">
        <v>171</v>
      </c>
      <c r="B7" s="580" t="s">
        <v>172</v>
      </c>
      <c r="C7" s="581">
        <v>0</v>
      </c>
      <c r="D7" s="582" t="s">
        <v>100</v>
      </c>
    </row>
    <row r="8" spans="1:4" ht="15">
      <c r="A8" s="583" t="s">
        <v>173</v>
      </c>
      <c r="B8" s="584" t="s">
        <v>174</v>
      </c>
      <c r="C8" s="585">
        <v>0</v>
      </c>
      <c r="D8" s="586" t="s">
        <v>100</v>
      </c>
    </row>
    <row r="9" spans="1:4" ht="15">
      <c r="A9" s="579" t="s">
        <v>175</v>
      </c>
      <c r="B9" s="580" t="s">
        <v>176</v>
      </c>
      <c r="C9" s="581">
        <v>0</v>
      </c>
      <c r="D9" s="582" t="s">
        <v>100</v>
      </c>
    </row>
    <row r="10" spans="1:4" ht="15">
      <c r="A10" s="583" t="s">
        <v>177</v>
      </c>
      <c r="B10" s="584" t="s">
        <v>178</v>
      </c>
      <c r="C10" s="585">
        <v>-194312.18</v>
      </c>
      <c r="D10" s="586" t="s">
        <v>100</v>
      </c>
    </row>
    <row r="11" spans="1:4" ht="15">
      <c r="A11" s="579" t="s">
        <v>179</v>
      </c>
      <c r="B11" s="580" t="s">
        <v>180</v>
      </c>
      <c r="C11" s="581">
        <v>181572</v>
      </c>
      <c r="D11" s="582" t="s">
        <v>100</v>
      </c>
    </row>
    <row r="12" spans="1:4" ht="15">
      <c r="A12" s="583" t="s">
        <v>181</v>
      </c>
      <c r="B12" s="584" t="s">
        <v>182</v>
      </c>
      <c r="C12" s="585">
        <v>0</v>
      </c>
      <c r="D12" s="586" t="s">
        <v>100</v>
      </c>
    </row>
    <row r="13" spans="1:4" ht="15">
      <c r="A13" s="579" t="s">
        <v>183</v>
      </c>
      <c r="B13" s="580" t="s">
        <v>184</v>
      </c>
      <c r="C13" s="581">
        <v>0</v>
      </c>
      <c r="D13" s="582" t="s">
        <v>100</v>
      </c>
    </row>
    <row r="14" spans="1:4" ht="15">
      <c r="A14" s="583" t="s">
        <v>1551</v>
      </c>
      <c r="B14" s="584" t="s">
        <v>1552</v>
      </c>
      <c r="C14" s="585">
        <v>0</v>
      </c>
      <c r="D14" s="586" t="s">
        <v>100</v>
      </c>
    </row>
    <row r="15" spans="1:4" ht="15">
      <c r="A15" s="579" t="s">
        <v>1553</v>
      </c>
      <c r="B15" s="580" t="s">
        <v>1554</v>
      </c>
      <c r="C15" s="581">
        <v>0</v>
      </c>
      <c r="D15" s="582" t="s">
        <v>100</v>
      </c>
    </row>
    <row r="16" spans="1:4" ht="15">
      <c r="A16" s="583" t="s">
        <v>185</v>
      </c>
      <c r="B16" s="584" t="s">
        <v>186</v>
      </c>
      <c r="C16" s="585">
        <v>-12740.18</v>
      </c>
      <c r="D16" s="586" t="s">
        <v>187</v>
      </c>
    </row>
    <row r="17" spans="1:4" ht="15">
      <c r="A17" s="579" t="s">
        <v>188</v>
      </c>
      <c r="B17" s="580" t="s">
        <v>189</v>
      </c>
      <c r="C17" s="581">
        <v>0</v>
      </c>
      <c r="D17" s="582" t="s">
        <v>100</v>
      </c>
    </row>
    <row r="18" spans="1:4" ht="15">
      <c r="A18" s="583" t="s">
        <v>190</v>
      </c>
      <c r="B18" s="584" t="s">
        <v>191</v>
      </c>
      <c r="C18" s="585">
        <v>0</v>
      </c>
      <c r="D18" s="586" t="s">
        <v>100</v>
      </c>
    </row>
    <row r="19" spans="1:4" ht="15">
      <c r="A19" s="579" t="s">
        <v>192</v>
      </c>
      <c r="B19" s="580" t="s">
        <v>193</v>
      </c>
      <c r="C19" s="581">
        <v>0</v>
      </c>
      <c r="D19" s="582" t="s">
        <v>100</v>
      </c>
    </row>
    <row r="20" spans="1:4" ht="15">
      <c r="A20" s="583" t="s">
        <v>194</v>
      </c>
      <c r="B20" s="584" t="s">
        <v>195</v>
      </c>
      <c r="C20" s="585">
        <v>0</v>
      </c>
      <c r="D20" s="586" t="s">
        <v>196</v>
      </c>
    </row>
    <row r="21" spans="1:4" ht="15">
      <c r="A21" s="579" t="s">
        <v>197</v>
      </c>
      <c r="B21" s="580" t="s">
        <v>198</v>
      </c>
      <c r="C21" s="581">
        <v>0</v>
      </c>
      <c r="D21" s="582" t="s">
        <v>100</v>
      </c>
    </row>
    <row r="22" spans="1:4" ht="15">
      <c r="A22" s="583" t="s">
        <v>199</v>
      </c>
      <c r="B22" s="584" t="s">
        <v>200</v>
      </c>
      <c r="C22" s="585">
        <v>0</v>
      </c>
      <c r="D22" s="586" t="s">
        <v>100</v>
      </c>
    </row>
    <row r="23" spans="1:4" ht="15">
      <c r="A23" s="579" t="s">
        <v>201</v>
      </c>
      <c r="B23" s="580" t="s">
        <v>202</v>
      </c>
      <c r="C23" s="581">
        <v>-10000</v>
      </c>
      <c r="D23" s="582" t="s">
        <v>100</v>
      </c>
    </row>
    <row r="24" spans="1:4" ht="15">
      <c r="A24" s="583" t="s">
        <v>203</v>
      </c>
      <c r="B24" s="584" t="s">
        <v>204</v>
      </c>
      <c r="C24" s="585">
        <v>0</v>
      </c>
      <c r="D24" s="586" t="s">
        <v>100</v>
      </c>
    </row>
    <row r="25" spans="1:4" ht="15">
      <c r="A25" s="579" t="s">
        <v>205</v>
      </c>
      <c r="B25" s="580" t="s">
        <v>206</v>
      </c>
      <c r="C25" s="581">
        <v>0</v>
      </c>
      <c r="D25" s="582" t="s">
        <v>100</v>
      </c>
    </row>
    <row r="26" spans="1:4" ht="15">
      <c r="A26" s="583" t="s">
        <v>207</v>
      </c>
      <c r="B26" s="584" t="s">
        <v>208</v>
      </c>
      <c r="C26" s="585">
        <v>0</v>
      </c>
      <c r="D26" s="586" t="s">
        <v>100</v>
      </c>
    </row>
    <row r="27" spans="1:4" ht="15">
      <c r="A27" s="579" t="s">
        <v>209</v>
      </c>
      <c r="B27" s="580" t="s">
        <v>210</v>
      </c>
      <c r="C27" s="581">
        <v>55873.75</v>
      </c>
      <c r="D27" s="582" t="s">
        <v>100</v>
      </c>
    </row>
    <row r="28" spans="1:4" ht="15">
      <c r="A28" s="583" t="s">
        <v>211</v>
      </c>
      <c r="B28" s="584" t="s">
        <v>212</v>
      </c>
      <c r="C28" s="585">
        <v>0</v>
      </c>
      <c r="D28" s="586" t="s">
        <v>100</v>
      </c>
    </row>
    <row r="29" spans="1:4" ht="15">
      <c r="A29" s="579" t="s">
        <v>213</v>
      </c>
      <c r="B29" s="580" t="s">
        <v>214</v>
      </c>
      <c r="C29" s="581">
        <v>16.04</v>
      </c>
      <c r="D29" s="582" t="s">
        <v>100</v>
      </c>
    </row>
    <row r="30" spans="1:4" ht="15">
      <c r="A30" s="583" t="s">
        <v>215</v>
      </c>
      <c r="B30" s="584" t="s">
        <v>216</v>
      </c>
      <c r="C30" s="585">
        <v>0</v>
      </c>
      <c r="D30" s="586" t="s">
        <v>100</v>
      </c>
    </row>
    <row r="31" spans="1:4" ht="15">
      <c r="A31" s="579" t="s">
        <v>217</v>
      </c>
      <c r="B31" s="580" t="s">
        <v>218</v>
      </c>
      <c r="C31" s="581">
        <v>0</v>
      </c>
      <c r="D31" s="582" t="s">
        <v>100</v>
      </c>
    </row>
    <row r="32" spans="1:4" ht="15">
      <c r="A32" s="583" t="s">
        <v>219</v>
      </c>
      <c r="B32" s="584" t="s">
        <v>220</v>
      </c>
      <c r="C32" s="585">
        <v>14406.13</v>
      </c>
      <c r="D32" s="586" t="s">
        <v>100</v>
      </c>
    </row>
    <row r="33" spans="1:4" ht="15">
      <c r="A33" s="579" t="s">
        <v>221</v>
      </c>
      <c r="B33" s="580" t="s">
        <v>222</v>
      </c>
      <c r="C33" s="581">
        <v>60295.92</v>
      </c>
      <c r="D33" s="582" t="s">
        <v>223</v>
      </c>
    </row>
    <row r="34" spans="1:4" ht="15">
      <c r="A34" s="583" t="s">
        <v>224</v>
      </c>
      <c r="B34" s="584" t="s">
        <v>225</v>
      </c>
      <c r="C34" s="585">
        <v>0</v>
      </c>
      <c r="D34" s="586" t="s">
        <v>100</v>
      </c>
    </row>
    <row r="35" spans="1:4" ht="15">
      <c r="A35" s="579" t="s">
        <v>226</v>
      </c>
      <c r="B35" s="580" t="s">
        <v>227</v>
      </c>
      <c r="C35" s="581">
        <v>0</v>
      </c>
      <c r="D35" s="582" t="s">
        <v>100</v>
      </c>
    </row>
    <row r="36" spans="1:4" ht="15">
      <c r="A36" s="583" t="s">
        <v>228</v>
      </c>
      <c r="B36" s="584" t="s">
        <v>229</v>
      </c>
      <c r="C36" s="585">
        <v>146250</v>
      </c>
      <c r="D36" s="586" t="s">
        <v>100</v>
      </c>
    </row>
    <row r="37" spans="1:4" ht="15">
      <c r="A37" s="579" t="s">
        <v>230</v>
      </c>
      <c r="B37" s="580" t="s">
        <v>1555</v>
      </c>
      <c r="C37" s="581">
        <v>0</v>
      </c>
      <c r="D37" s="582" t="s">
        <v>100</v>
      </c>
    </row>
    <row r="38" spans="1:4" ht="15">
      <c r="A38" s="583" t="s">
        <v>232</v>
      </c>
      <c r="B38" s="584" t="s">
        <v>233</v>
      </c>
      <c r="C38" s="585">
        <v>0</v>
      </c>
      <c r="D38" s="586" t="s">
        <v>100</v>
      </c>
    </row>
    <row r="39" spans="1:4" ht="15">
      <c r="A39" s="579" t="s">
        <v>234</v>
      </c>
      <c r="B39" s="580" t="s">
        <v>235</v>
      </c>
      <c r="C39" s="581">
        <v>0</v>
      </c>
      <c r="D39" s="582" t="s">
        <v>100</v>
      </c>
    </row>
    <row r="40" spans="1:4" ht="15">
      <c r="A40" s="583" t="s">
        <v>236</v>
      </c>
      <c r="B40" s="584" t="s">
        <v>237</v>
      </c>
      <c r="C40" s="585">
        <v>0</v>
      </c>
      <c r="D40" s="586" t="s">
        <v>100</v>
      </c>
    </row>
    <row r="41" spans="1:4" ht="15">
      <c r="A41" s="579" t="s">
        <v>238</v>
      </c>
      <c r="B41" s="580" t="s">
        <v>239</v>
      </c>
      <c r="C41" s="581">
        <v>0</v>
      </c>
      <c r="D41" s="582" t="s">
        <v>100</v>
      </c>
    </row>
    <row r="42" spans="1:4" ht="15">
      <c r="A42" s="583" t="s">
        <v>240</v>
      </c>
      <c r="B42" s="584" t="s">
        <v>241</v>
      </c>
      <c r="C42" s="585">
        <v>146250</v>
      </c>
      <c r="D42" s="586" t="s">
        <v>242</v>
      </c>
    </row>
    <row r="43" spans="1:4" ht="15">
      <c r="A43" s="579" t="s">
        <v>243</v>
      </c>
      <c r="B43" s="580" t="s">
        <v>244</v>
      </c>
      <c r="C43" s="581">
        <v>0</v>
      </c>
      <c r="D43" s="582" t="s">
        <v>100</v>
      </c>
    </row>
    <row r="44" spans="1:4" ht="15">
      <c r="A44" s="583" t="s">
        <v>245</v>
      </c>
      <c r="B44" s="584" t="s">
        <v>246</v>
      </c>
      <c r="C44" s="585">
        <v>-2925</v>
      </c>
      <c r="D44" s="586" t="s">
        <v>100</v>
      </c>
    </row>
    <row r="45" spans="1:4" ht="15">
      <c r="A45" s="579" t="s">
        <v>247</v>
      </c>
      <c r="B45" s="580" t="s">
        <v>248</v>
      </c>
      <c r="C45" s="581">
        <v>-2925</v>
      </c>
      <c r="D45" s="582" t="s">
        <v>249</v>
      </c>
    </row>
    <row r="46" spans="1:4" ht="15">
      <c r="A46" s="583" t="s">
        <v>250</v>
      </c>
      <c r="B46" s="584" t="s">
        <v>251</v>
      </c>
      <c r="C46" s="585">
        <v>203620.92</v>
      </c>
      <c r="D46" s="586" t="s">
        <v>252</v>
      </c>
    </row>
    <row r="47" spans="1:4" ht="15">
      <c r="A47" s="579" t="s">
        <v>253</v>
      </c>
      <c r="B47" s="580" t="s">
        <v>254</v>
      </c>
      <c r="C47" s="581">
        <v>0</v>
      </c>
      <c r="D47" s="582" t="s">
        <v>100</v>
      </c>
    </row>
    <row r="48" spans="1:4" ht="15">
      <c r="A48" s="583" t="s">
        <v>255</v>
      </c>
      <c r="B48" s="584" t="s">
        <v>256</v>
      </c>
      <c r="C48" s="585">
        <v>0</v>
      </c>
      <c r="D48" s="586" t="s">
        <v>100</v>
      </c>
    </row>
    <row r="49" spans="1:4" ht="15">
      <c r="A49" s="579" t="s">
        <v>257</v>
      </c>
      <c r="B49" s="580" t="s">
        <v>258</v>
      </c>
      <c r="C49" s="581">
        <v>0</v>
      </c>
      <c r="D49" s="582" t="s">
        <v>100</v>
      </c>
    </row>
    <row r="50" spans="1:4" ht="15">
      <c r="A50" s="583" t="s">
        <v>259</v>
      </c>
      <c r="B50" s="584" t="s">
        <v>260</v>
      </c>
      <c r="C50" s="585">
        <v>5459.68</v>
      </c>
      <c r="D50" s="586" t="s">
        <v>100</v>
      </c>
    </row>
    <row r="51" spans="1:4" ht="15">
      <c r="A51" s="579" t="s">
        <v>261</v>
      </c>
      <c r="B51" s="580" t="s">
        <v>262</v>
      </c>
      <c r="C51" s="581">
        <v>0</v>
      </c>
      <c r="D51" s="582" t="s">
        <v>100</v>
      </c>
    </row>
    <row r="52" spans="1:4" ht="15">
      <c r="A52" s="583" t="s">
        <v>263</v>
      </c>
      <c r="B52" s="584" t="s">
        <v>264</v>
      </c>
      <c r="C52" s="585">
        <v>-2316.56</v>
      </c>
      <c r="D52" s="586" t="s">
        <v>100</v>
      </c>
    </row>
    <row r="53" spans="1:4" ht="15">
      <c r="A53" s="579" t="s">
        <v>265</v>
      </c>
      <c r="B53" s="580" t="s">
        <v>266</v>
      </c>
      <c r="C53" s="581">
        <v>12764.1</v>
      </c>
      <c r="D53" s="582" t="s">
        <v>100</v>
      </c>
    </row>
    <row r="54" spans="1:4" ht="15">
      <c r="A54" s="583" t="s">
        <v>267</v>
      </c>
      <c r="B54" s="584" t="s">
        <v>268</v>
      </c>
      <c r="C54" s="585">
        <v>0</v>
      </c>
      <c r="D54" s="586" t="s">
        <v>100</v>
      </c>
    </row>
    <row r="55" spans="1:4" ht="15">
      <c r="A55" s="579" t="s">
        <v>269</v>
      </c>
      <c r="B55" s="580" t="s">
        <v>270</v>
      </c>
      <c r="C55" s="581">
        <v>-10099.200000000001</v>
      </c>
      <c r="D55" s="582" t="s">
        <v>100</v>
      </c>
    </row>
    <row r="56" spans="1:4" ht="15">
      <c r="A56" s="583" t="s">
        <v>271</v>
      </c>
      <c r="B56" s="584" t="s">
        <v>272</v>
      </c>
      <c r="C56" s="585">
        <v>0</v>
      </c>
      <c r="D56" s="586" t="s">
        <v>100</v>
      </c>
    </row>
    <row r="57" spans="1:4" ht="15">
      <c r="A57" s="579" t="s">
        <v>273</v>
      </c>
      <c r="B57" s="580" t="s">
        <v>274</v>
      </c>
      <c r="C57" s="581">
        <v>3.95</v>
      </c>
      <c r="D57" s="582" t="s">
        <v>100</v>
      </c>
    </row>
    <row r="58" spans="1:4" ht="15">
      <c r="A58" s="583" t="s">
        <v>275</v>
      </c>
      <c r="B58" s="584" t="s">
        <v>254</v>
      </c>
      <c r="C58" s="585">
        <v>5811.97</v>
      </c>
      <c r="D58" s="586" t="s">
        <v>276</v>
      </c>
    </row>
    <row r="59" spans="1:4" ht="15">
      <c r="A59" s="579" t="s">
        <v>277</v>
      </c>
      <c r="B59" s="580" t="s">
        <v>278</v>
      </c>
      <c r="C59" s="581">
        <v>-3862103.69</v>
      </c>
      <c r="D59" s="582" t="s">
        <v>279</v>
      </c>
    </row>
    <row r="60" spans="1:4" ht="15">
      <c r="A60" s="583" t="s">
        <v>280</v>
      </c>
      <c r="B60" s="584" t="s">
        <v>281</v>
      </c>
      <c r="C60" s="585">
        <v>0</v>
      </c>
      <c r="D60" s="586" t="s">
        <v>100</v>
      </c>
    </row>
    <row r="61" spans="1:4" ht="15">
      <c r="A61" s="579" t="s">
        <v>282</v>
      </c>
      <c r="B61" s="580" t="s">
        <v>281</v>
      </c>
      <c r="C61" s="581">
        <v>0</v>
      </c>
      <c r="D61" s="582" t="s">
        <v>100</v>
      </c>
    </row>
    <row r="62" spans="1:4" ht="15">
      <c r="A62" s="583" t="s">
        <v>283</v>
      </c>
      <c r="B62" s="584" t="s">
        <v>284</v>
      </c>
      <c r="C62" s="585">
        <v>0</v>
      </c>
      <c r="D62" s="586" t="s">
        <v>100</v>
      </c>
    </row>
    <row r="63" spans="1:4" ht="15">
      <c r="A63" s="579" t="s">
        <v>285</v>
      </c>
      <c r="B63" s="580" t="s">
        <v>286</v>
      </c>
      <c r="C63" s="581">
        <v>0</v>
      </c>
      <c r="D63" s="582" t="s">
        <v>100</v>
      </c>
    </row>
    <row r="64" spans="1:4" ht="15">
      <c r="A64" s="583" t="s">
        <v>287</v>
      </c>
      <c r="B64" s="584" t="s">
        <v>288</v>
      </c>
      <c r="C64" s="585">
        <v>5812228.21</v>
      </c>
      <c r="D64" s="586" t="s">
        <v>100</v>
      </c>
    </row>
    <row r="65" spans="1:4" ht="15">
      <c r="A65" s="579" t="s">
        <v>289</v>
      </c>
      <c r="B65" s="580" t="s">
        <v>1557</v>
      </c>
      <c r="C65" s="581">
        <v>0</v>
      </c>
      <c r="D65" s="582" t="s">
        <v>100</v>
      </c>
    </row>
    <row r="66" spans="1:4" ht="15">
      <c r="A66" s="583" t="s">
        <v>291</v>
      </c>
      <c r="B66" s="584" t="s">
        <v>292</v>
      </c>
      <c r="C66" s="585">
        <v>0</v>
      </c>
      <c r="D66" s="586" t="s">
        <v>100</v>
      </c>
    </row>
    <row r="67" spans="1:4" ht="15">
      <c r="A67" s="579" t="s">
        <v>293</v>
      </c>
      <c r="B67" s="580" t="s">
        <v>294</v>
      </c>
      <c r="C67" s="581">
        <v>-72626</v>
      </c>
      <c r="D67" s="582" t="s">
        <v>100</v>
      </c>
    </row>
    <row r="68" spans="1:4" ht="15">
      <c r="A68" s="583" t="s">
        <v>295</v>
      </c>
      <c r="B68" s="584" t="s">
        <v>296</v>
      </c>
      <c r="C68" s="585">
        <v>337574.2</v>
      </c>
      <c r="D68" s="586" t="s">
        <v>100</v>
      </c>
    </row>
    <row r="69" spans="1:4" ht="15">
      <c r="A69" s="579" t="s">
        <v>297</v>
      </c>
      <c r="B69" s="580" t="s">
        <v>298</v>
      </c>
      <c r="C69" s="581">
        <v>683863.77</v>
      </c>
      <c r="D69" s="582" t="s">
        <v>100</v>
      </c>
    </row>
    <row r="70" spans="1:4" ht="15">
      <c r="A70" s="583" t="s">
        <v>299</v>
      </c>
      <c r="B70" s="584" t="s">
        <v>300</v>
      </c>
      <c r="C70" s="585">
        <v>49154.25</v>
      </c>
      <c r="D70" s="586" t="s">
        <v>100</v>
      </c>
    </row>
    <row r="71" spans="1:4" ht="15">
      <c r="A71" s="579" t="s">
        <v>301</v>
      </c>
      <c r="B71" s="580" t="s">
        <v>302</v>
      </c>
      <c r="C71" s="581">
        <v>11920.17</v>
      </c>
      <c r="D71" s="582" t="s">
        <v>100</v>
      </c>
    </row>
    <row r="72" spans="1:4" ht="15">
      <c r="A72" s="583" t="s">
        <v>303</v>
      </c>
      <c r="B72" s="584" t="s">
        <v>304</v>
      </c>
      <c r="C72" s="585">
        <v>-1031950.62</v>
      </c>
      <c r="D72" s="586" t="s">
        <v>100</v>
      </c>
    </row>
    <row r="73" spans="1:4" ht="15">
      <c r="A73" s="579" t="s">
        <v>305</v>
      </c>
      <c r="B73" s="580" t="s">
        <v>306</v>
      </c>
      <c r="C73" s="581">
        <v>47051.07</v>
      </c>
      <c r="D73" s="582" t="s">
        <v>100</v>
      </c>
    </row>
    <row r="74" spans="1:4" ht="15">
      <c r="A74" s="583" t="s">
        <v>307</v>
      </c>
      <c r="B74" s="584" t="s">
        <v>308</v>
      </c>
      <c r="C74" s="585">
        <v>-3500</v>
      </c>
      <c r="D74" s="586" t="s">
        <v>100</v>
      </c>
    </row>
    <row r="75" spans="1:4" ht="15">
      <c r="A75" s="579" t="s">
        <v>309</v>
      </c>
      <c r="B75" s="580" t="s">
        <v>1558</v>
      </c>
      <c r="C75" s="581">
        <v>0</v>
      </c>
      <c r="D75" s="582" t="s">
        <v>100</v>
      </c>
    </row>
    <row r="76" spans="1:4" ht="15">
      <c r="A76" s="583" t="s">
        <v>311</v>
      </c>
      <c r="B76" s="584" t="s">
        <v>312</v>
      </c>
      <c r="C76" s="585">
        <v>5833715.0499999998</v>
      </c>
      <c r="D76" s="586" t="s">
        <v>313</v>
      </c>
    </row>
    <row r="77" spans="1:4" ht="15">
      <c r="A77" s="579" t="s">
        <v>314</v>
      </c>
      <c r="B77" s="580" t="s">
        <v>315</v>
      </c>
      <c r="C77" s="581">
        <v>0</v>
      </c>
      <c r="D77" s="582" t="s">
        <v>100</v>
      </c>
    </row>
    <row r="78" spans="1:4" ht="15">
      <c r="A78" s="583" t="s">
        <v>316</v>
      </c>
      <c r="B78" s="584" t="s">
        <v>317</v>
      </c>
      <c r="C78" s="585">
        <v>195832.42</v>
      </c>
      <c r="D78" s="586" t="s">
        <v>100</v>
      </c>
    </row>
    <row r="79" spans="1:4" ht="15">
      <c r="A79" s="579" t="s">
        <v>318</v>
      </c>
      <c r="B79" s="580" t="s">
        <v>319</v>
      </c>
      <c r="C79" s="581">
        <v>0</v>
      </c>
      <c r="D79" s="582" t="s">
        <v>100</v>
      </c>
    </row>
    <row r="80" spans="1:4" ht="15">
      <c r="A80" s="583" t="s">
        <v>320</v>
      </c>
      <c r="B80" s="584" t="s">
        <v>321</v>
      </c>
      <c r="C80" s="585">
        <v>82279.61</v>
      </c>
      <c r="D80" s="586" t="s">
        <v>100</v>
      </c>
    </row>
    <row r="81" spans="1:4" ht="15">
      <c r="A81" s="579" t="s">
        <v>322</v>
      </c>
      <c r="B81" s="580" t="s">
        <v>323</v>
      </c>
      <c r="C81" s="581">
        <v>22350.95</v>
      </c>
      <c r="D81" s="582" t="s">
        <v>100</v>
      </c>
    </row>
    <row r="82" spans="1:4" ht="15">
      <c r="A82" s="583" t="s">
        <v>324</v>
      </c>
      <c r="B82" s="584" t="s">
        <v>325</v>
      </c>
      <c r="C82" s="585">
        <v>4294.33</v>
      </c>
      <c r="D82" s="586" t="s">
        <v>100</v>
      </c>
    </row>
    <row r="83" spans="1:4" ht="15">
      <c r="A83" s="579" t="s">
        <v>326</v>
      </c>
      <c r="B83" s="580" t="s">
        <v>327</v>
      </c>
      <c r="C83" s="581">
        <v>0</v>
      </c>
      <c r="D83" s="582" t="s">
        <v>100</v>
      </c>
    </row>
    <row r="84" spans="1:4" ht="15">
      <c r="A84" s="583" t="s">
        <v>328</v>
      </c>
      <c r="B84" s="584" t="s">
        <v>329</v>
      </c>
      <c r="C84" s="585">
        <v>304757.31</v>
      </c>
      <c r="D84" s="586" t="s">
        <v>330</v>
      </c>
    </row>
    <row r="85" spans="1:4" ht="15">
      <c r="A85" s="579" t="s">
        <v>331</v>
      </c>
      <c r="B85" s="580" t="s">
        <v>332</v>
      </c>
      <c r="C85" s="581">
        <v>0</v>
      </c>
      <c r="D85" s="582" t="s">
        <v>100</v>
      </c>
    </row>
    <row r="86" spans="1:4" ht="15">
      <c r="A86" s="583" t="s">
        <v>333</v>
      </c>
      <c r="B86" s="584" t="s">
        <v>334</v>
      </c>
      <c r="C86" s="585">
        <v>143897.37</v>
      </c>
      <c r="D86" s="586" t="s">
        <v>100</v>
      </c>
    </row>
    <row r="87" spans="1:4" ht="15">
      <c r="A87" s="579" t="s">
        <v>335</v>
      </c>
      <c r="B87" s="580" t="s">
        <v>336</v>
      </c>
      <c r="C87" s="581">
        <v>55591.86</v>
      </c>
      <c r="D87" s="582" t="s">
        <v>100</v>
      </c>
    </row>
    <row r="88" spans="1:4" ht="15">
      <c r="A88" s="583" t="s">
        <v>337</v>
      </c>
      <c r="B88" s="584" t="s">
        <v>338</v>
      </c>
      <c r="C88" s="585">
        <v>199489.23</v>
      </c>
      <c r="D88" s="586" t="s">
        <v>339</v>
      </c>
    </row>
    <row r="89" spans="1:4" ht="15">
      <c r="A89" s="579" t="s">
        <v>340</v>
      </c>
      <c r="B89" s="580" t="s">
        <v>341</v>
      </c>
      <c r="C89" s="581">
        <v>6337961.5899999999</v>
      </c>
      <c r="D89" s="582" t="s">
        <v>342</v>
      </c>
    </row>
    <row r="90" spans="1:4" ht="15">
      <c r="A90" s="583" t="s">
        <v>343</v>
      </c>
      <c r="B90" s="584" t="s">
        <v>344</v>
      </c>
      <c r="C90" s="585">
        <v>0</v>
      </c>
      <c r="D90" s="586" t="s">
        <v>100</v>
      </c>
    </row>
    <row r="91" spans="1:4" ht="15">
      <c r="A91" s="579" t="s">
        <v>345</v>
      </c>
      <c r="B91" s="580" t="s">
        <v>346</v>
      </c>
      <c r="C91" s="581">
        <v>1074.05</v>
      </c>
      <c r="D91" s="582" t="s">
        <v>100</v>
      </c>
    </row>
    <row r="92" spans="1:4" ht="15">
      <c r="A92" s="583" t="s">
        <v>347</v>
      </c>
      <c r="B92" s="584" t="s">
        <v>348</v>
      </c>
      <c r="C92" s="585">
        <v>87802.1</v>
      </c>
      <c r="D92" s="586" t="s">
        <v>100</v>
      </c>
    </row>
    <row r="93" spans="1:4" ht="15">
      <c r="A93" s="579" t="s">
        <v>349</v>
      </c>
      <c r="B93" s="580" t="s">
        <v>350</v>
      </c>
      <c r="C93" s="581">
        <v>0</v>
      </c>
      <c r="D93" s="582" t="s">
        <v>100</v>
      </c>
    </row>
    <row r="94" spans="1:4" ht="15">
      <c r="A94" s="583" t="s">
        <v>351</v>
      </c>
      <c r="B94" s="584" t="s">
        <v>352</v>
      </c>
      <c r="C94" s="585">
        <v>0</v>
      </c>
      <c r="D94" s="586" t="s">
        <v>100</v>
      </c>
    </row>
    <row r="95" spans="1:4" ht="15">
      <c r="A95" s="579" t="s">
        <v>353</v>
      </c>
      <c r="B95" s="580" t="s">
        <v>1527</v>
      </c>
      <c r="C95" s="581">
        <v>591326.51</v>
      </c>
      <c r="D95" s="582" t="s">
        <v>100</v>
      </c>
    </row>
    <row r="96" spans="1:4" ht="15">
      <c r="A96" s="583" t="s">
        <v>355</v>
      </c>
      <c r="B96" s="584" t="s">
        <v>1563</v>
      </c>
      <c r="C96" s="585">
        <v>2661.65</v>
      </c>
      <c r="D96" s="586" t="s">
        <v>100</v>
      </c>
    </row>
    <row r="97" spans="1:4" ht="15">
      <c r="A97" s="579" t="s">
        <v>357</v>
      </c>
      <c r="B97" s="580" t="s">
        <v>1564</v>
      </c>
      <c r="C97" s="581">
        <v>0</v>
      </c>
      <c r="D97" s="582" t="s">
        <v>100</v>
      </c>
    </row>
    <row r="98" spans="1:4" ht="15">
      <c r="A98" s="583" t="s">
        <v>359</v>
      </c>
      <c r="B98" s="584" t="s">
        <v>360</v>
      </c>
      <c r="C98" s="585">
        <v>4361.6499999999996</v>
      </c>
      <c r="D98" s="586" t="s">
        <v>100</v>
      </c>
    </row>
    <row r="99" spans="1:4" ht="15">
      <c r="A99" s="579" t="s">
        <v>361</v>
      </c>
      <c r="B99" s="580" t="s">
        <v>362</v>
      </c>
      <c r="C99" s="581">
        <v>0</v>
      </c>
      <c r="D99" s="582" t="s">
        <v>100</v>
      </c>
    </row>
    <row r="100" spans="1:4" ht="15">
      <c r="A100" s="583" t="s">
        <v>363</v>
      </c>
      <c r="B100" s="584" t="s">
        <v>364</v>
      </c>
      <c r="C100" s="585">
        <v>0</v>
      </c>
      <c r="D100" s="586" t="s">
        <v>100</v>
      </c>
    </row>
    <row r="101" spans="1:4" ht="15">
      <c r="A101" s="579" t="s">
        <v>365</v>
      </c>
      <c r="B101" s="580" t="s">
        <v>1565</v>
      </c>
      <c r="C101" s="581">
        <v>0</v>
      </c>
      <c r="D101" s="582" t="s">
        <v>100</v>
      </c>
    </row>
    <row r="102" spans="1:4" ht="15">
      <c r="A102" s="583" t="s">
        <v>367</v>
      </c>
      <c r="B102" s="584" t="s">
        <v>368</v>
      </c>
      <c r="C102" s="585">
        <v>687225.96</v>
      </c>
      <c r="D102" s="586" t="s">
        <v>369</v>
      </c>
    </row>
    <row r="103" spans="1:4" ht="15">
      <c r="A103" s="579" t="s">
        <v>370</v>
      </c>
      <c r="B103" s="580" t="s">
        <v>371</v>
      </c>
      <c r="C103" s="581">
        <v>0</v>
      </c>
      <c r="D103" s="582" t="s">
        <v>100</v>
      </c>
    </row>
    <row r="104" spans="1:4" ht="15">
      <c r="A104" s="583" t="s">
        <v>372</v>
      </c>
      <c r="B104" s="584" t="s">
        <v>373</v>
      </c>
      <c r="C104" s="585">
        <v>0</v>
      </c>
      <c r="D104" s="586" t="s">
        <v>100</v>
      </c>
    </row>
    <row r="105" spans="1:4" ht="15">
      <c r="A105" s="579" t="s">
        <v>374</v>
      </c>
      <c r="B105" s="580" t="s">
        <v>375</v>
      </c>
      <c r="C105" s="581">
        <v>93654.19</v>
      </c>
      <c r="D105" s="582" t="s">
        <v>100</v>
      </c>
    </row>
    <row r="106" spans="1:4" ht="15">
      <c r="A106" s="583" t="s">
        <v>376</v>
      </c>
      <c r="B106" s="584" t="s">
        <v>377</v>
      </c>
      <c r="C106" s="585">
        <v>0</v>
      </c>
      <c r="D106" s="586" t="s">
        <v>100</v>
      </c>
    </row>
    <row r="107" spans="1:4" ht="15">
      <c r="A107" s="579" t="s">
        <v>378</v>
      </c>
      <c r="B107" s="580" t="s">
        <v>379</v>
      </c>
      <c r="C107" s="581">
        <v>93654.19</v>
      </c>
      <c r="D107" s="582" t="s">
        <v>380</v>
      </c>
    </row>
    <row r="108" spans="1:4" ht="15">
      <c r="A108" s="583" t="s">
        <v>381</v>
      </c>
      <c r="B108" s="584" t="s">
        <v>382</v>
      </c>
      <c r="C108" s="585">
        <v>0</v>
      </c>
      <c r="D108" s="586" t="s">
        <v>100</v>
      </c>
    </row>
    <row r="109" spans="1:4" ht="15">
      <c r="A109" s="579" t="s">
        <v>383</v>
      </c>
      <c r="B109" s="580" t="s">
        <v>384</v>
      </c>
      <c r="C109" s="581">
        <v>11738.76</v>
      </c>
      <c r="D109" s="582" t="s">
        <v>100</v>
      </c>
    </row>
    <row r="110" spans="1:4" ht="15">
      <c r="A110" s="583" t="s">
        <v>385</v>
      </c>
      <c r="B110" s="584" t="s">
        <v>386</v>
      </c>
      <c r="C110" s="585">
        <v>-44986.93</v>
      </c>
      <c r="D110" s="586" t="s">
        <v>100</v>
      </c>
    </row>
    <row r="111" spans="1:4" ht="15">
      <c r="A111" s="579" t="s">
        <v>389</v>
      </c>
      <c r="B111" s="580" t="s">
        <v>390</v>
      </c>
      <c r="C111" s="581">
        <v>0</v>
      </c>
      <c r="D111" s="582" t="s">
        <v>100</v>
      </c>
    </row>
    <row r="112" spans="1:4" ht="15">
      <c r="A112" s="583" t="s">
        <v>391</v>
      </c>
      <c r="B112" s="584" t="s">
        <v>392</v>
      </c>
      <c r="C112" s="585">
        <v>0</v>
      </c>
      <c r="D112" s="586" t="s">
        <v>100</v>
      </c>
    </row>
    <row r="113" spans="1:4" ht="15">
      <c r="A113" s="579" t="s">
        <v>393</v>
      </c>
      <c r="B113" s="580" t="s">
        <v>1566</v>
      </c>
      <c r="C113" s="581">
        <v>0</v>
      </c>
      <c r="D113" s="582" t="s">
        <v>100</v>
      </c>
    </row>
    <row r="114" spans="1:4" ht="15">
      <c r="A114" s="583" t="s">
        <v>395</v>
      </c>
      <c r="B114" s="584" t="s">
        <v>396</v>
      </c>
      <c r="C114" s="585">
        <v>0</v>
      </c>
      <c r="D114" s="586" t="s">
        <v>100</v>
      </c>
    </row>
    <row r="115" spans="1:4" ht="15">
      <c r="A115" s="579" t="s">
        <v>397</v>
      </c>
      <c r="B115" s="580" t="s">
        <v>1568</v>
      </c>
      <c r="C115" s="581">
        <v>1474.71</v>
      </c>
      <c r="D115" s="582" t="s">
        <v>100</v>
      </c>
    </row>
    <row r="116" spans="1:4" ht="15">
      <c r="A116" s="583" t="s">
        <v>399</v>
      </c>
      <c r="B116" s="584" t="s">
        <v>400</v>
      </c>
      <c r="C116" s="585">
        <v>51661.5</v>
      </c>
      <c r="D116" s="586" t="s">
        <v>100</v>
      </c>
    </row>
    <row r="117" spans="1:4" ht="15">
      <c r="A117" s="579" t="s">
        <v>401</v>
      </c>
      <c r="B117" s="580" t="s">
        <v>402</v>
      </c>
      <c r="C117" s="581">
        <v>-2537.25</v>
      </c>
      <c r="D117" s="582" t="s">
        <v>100</v>
      </c>
    </row>
    <row r="118" spans="1:4" ht="15">
      <c r="A118" s="583" t="s">
        <v>403</v>
      </c>
      <c r="B118" s="584" t="s">
        <v>2023</v>
      </c>
      <c r="C118" s="585">
        <v>288.88</v>
      </c>
      <c r="D118" s="586" t="s">
        <v>100</v>
      </c>
    </row>
    <row r="119" spans="1:4" ht="15">
      <c r="A119" s="579" t="s">
        <v>405</v>
      </c>
      <c r="B119" s="580" t="s">
        <v>1570</v>
      </c>
      <c r="C119" s="581">
        <v>0</v>
      </c>
      <c r="D119" s="582" t="s">
        <v>100</v>
      </c>
    </row>
    <row r="120" spans="1:4" ht="15">
      <c r="A120" s="583" t="s">
        <v>407</v>
      </c>
      <c r="B120" s="584" t="s">
        <v>220</v>
      </c>
      <c r="C120" s="585">
        <v>0</v>
      </c>
      <c r="D120" s="586" t="s">
        <v>100</v>
      </c>
    </row>
    <row r="121" spans="1:4" ht="15">
      <c r="A121" s="579" t="s">
        <v>1571</v>
      </c>
      <c r="B121" s="580" t="s">
        <v>388</v>
      </c>
      <c r="C121" s="581">
        <v>0</v>
      </c>
      <c r="D121" s="582" t="s">
        <v>100</v>
      </c>
    </row>
    <row r="122" spans="1:4" ht="15">
      <c r="A122" s="583" t="s">
        <v>408</v>
      </c>
      <c r="B122" s="584" t="s">
        <v>409</v>
      </c>
      <c r="C122" s="585">
        <v>17639.669999999998</v>
      </c>
      <c r="D122" s="586" t="s">
        <v>410</v>
      </c>
    </row>
    <row r="123" spans="1:4" ht="15">
      <c r="A123" s="579" t="s">
        <v>411</v>
      </c>
      <c r="B123" s="580" t="s">
        <v>412</v>
      </c>
      <c r="C123" s="581">
        <v>0</v>
      </c>
      <c r="D123" s="582" t="s">
        <v>100</v>
      </c>
    </row>
    <row r="124" spans="1:4" ht="15">
      <c r="A124" s="583" t="s">
        <v>413</v>
      </c>
      <c r="B124" s="584" t="s">
        <v>414</v>
      </c>
      <c r="C124" s="585">
        <v>0</v>
      </c>
      <c r="D124" s="586" t="s">
        <v>100</v>
      </c>
    </row>
    <row r="125" spans="1:4" ht="15">
      <c r="A125" s="579" t="s">
        <v>415</v>
      </c>
      <c r="B125" s="580" t="s">
        <v>416</v>
      </c>
      <c r="C125" s="581">
        <v>0</v>
      </c>
      <c r="D125" s="582" t="s">
        <v>417</v>
      </c>
    </row>
    <row r="126" spans="1:4" ht="15">
      <c r="A126" s="583" t="s">
        <v>418</v>
      </c>
      <c r="B126" s="584" t="s">
        <v>419</v>
      </c>
      <c r="C126" s="585">
        <v>0</v>
      </c>
      <c r="D126" s="586" t="s">
        <v>100</v>
      </c>
    </row>
    <row r="127" spans="1:4" ht="15">
      <c r="A127" s="579" t="s">
        <v>420</v>
      </c>
      <c r="B127" s="580" t="s">
        <v>56</v>
      </c>
      <c r="C127" s="581">
        <v>25000</v>
      </c>
      <c r="D127" s="582" t="s">
        <v>100</v>
      </c>
    </row>
    <row r="128" spans="1:4" ht="15">
      <c r="A128" s="583" t="s">
        <v>421</v>
      </c>
      <c r="B128" s="584" t="s">
        <v>422</v>
      </c>
      <c r="C128" s="585">
        <v>25000</v>
      </c>
      <c r="D128" s="586" t="s">
        <v>423</v>
      </c>
    </row>
    <row r="129" spans="1:4" ht="15">
      <c r="A129" s="579" t="s">
        <v>424</v>
      </c>
      <c r="B129" s="580" t="s">
        <v>425</v>
      </c>
      <c r="C129" s="581">
        <v>136293.85999999999</v>
      </c>
      <c r="D129" s="582" t="s">
        <v>426</v>
      </c>
    </row>
    <row r="130" spans="1:4" ht="15">
      <c r="A130" s="583" t="s">
        <v>427</v>
      </c>
      <c r="B130" s="584" t="s">
        <v>428</v>
      </c>
      <c r="C130" s="585">
        <v>0</v>
      </c>
      <c r="D130" s="586" t="s">
        <v>100</v>
      </c>
    </row>
    <row r="131" spans="1:4" ht="15">
      <c r="A131" s="579" t="s">
        <v>430</v>
      </c>
      <c r="B131" s="580" t="s">
        <v>431</v>
      </c>
      <c r="C131" s="581">
        <v>1200</v>
      </c>
      <c r="D131" s="582" t="s">
        <v>100</v>
      </c>
    </row>
    <row r="132" spans="1:4" ht="15">
      <c r="A132" s="583" t="s">
        <v>439</v>
      </c>
      <c r="B132" s="584" t="s">
        <v>440</v>
      </c>
      <c r="C132" s="585">
        <v>-63073.55</v>
      </c>
      <c r="D132" s="586" t="s">
        <v>100</v>
      </c>
    </row>
    <row r="133" spans="1:4" ht="15">
      <c r="A133" s="579" t="s">
        <v>441</v>
      </c>
      <c r="B133" s="580" t="s">
        <v>442</v>
      </c>
      <c r="C133" s="581">
        <v>0</v>
      </c>
      <c r="D133" s="582" t="s">
        <v>100</v>
      </c>
    </row>
    <row r="134" spans="1:4" ht="15">
      <c r="A134" s="583" t="s">
        <v>443</v>
      </c>
      <c r="B134" s="584" t="s">
        <v>1573</v>
      </c>
      <c r="C134" s="585">
        <v>199671.95</v>
      </c>
      <c r="D134" s="586" t="s">
        <v>100</v>
      </c>
    </row>
    <row r="135" spans="1:4" ht="15">
      <c r="A135" s="579" t="s">
        <v>445</v>
      </c>
      <c r="B135" s="580" t="s">
        <v>446</v>
      </c>
      <c r="C135" s="581">
        <v>0</v>
      </c>
      <c r="D135" s="582" t="s">
        <v>100</v>
      </c>
    </row>
    <row r="136" spans="1:4" ht="15">
      <c r="A136" s="583" t="s">
        <v>447</v>
      </c>
      <c r="B136" s="584" t="s">
        <v>448</v>
      </c>
      <c r="C136" s="585">
        <v>291236.19</v>
      </c>
      <c r="D136" s="586" t="s">
        <v>100</v>
      </c>
    </row>
    <row r="137" spans="1:4" ht="15">
      <c r="A137" s="579" t="s">
        <v>449</v>
      </c>
      <c r="B137" s="580" t="s">
        <v>450</v>
      </c>
      <c r="C137" s="581">
        <v>0</v>
      </c>
      <c r="D137" s="582" t="s">
        <v>100</v>
      </c>
    </row>
    <row r="138" spans="1:4" ht="15">
      <c r="A138" s="583" t="s">
        <v>451</v>
      </c>
      <c r="B138" s="584" t="s">
        <v>452</v>
      </c>
      <c r="C138" s="585">
        <v>149264.76999999999</v>
      </c>
      <c r="D138" s="586" t="s">
        <v>100</v>
      </c>
    </row>
    <row r="139" spans="1:4" ht="15">
      <c r="A139" s="579" t="s">
        <v>453</v>
      </c>
      <c r="B139" s="580" t="s">
        <v>454</v>
      </c>
      <c r="C139" s="581">
        <v>0</v>
      </c>
      <c r="D139" s="582" t="s">
        <v>100</v>
      </c>
    </row>
    <row r="140" spans="1:4" ht="15">
      <c r="A140" s="583" t="s">
        <v>455</v>
      </c>
      <c r="B140" s="584" t="s">
        <v>456</v>
      </c>
      <c r="C140" s="585">
        <v>0</v>
      </c>
      <c r="D140" s="586" t="s">
        <v>100</v>
      </c>
    </row>
    <row r="141" spans="1:4" ht="15">
      <c r="A141" s="579" t="s">
        <v>457</v>
      </c>
      <c r="B141" s="580" t="s">
        <v>1575</v>
      </c>
      <c r="C141" s="581">
        <v>34235.56</v>
      </c>
      <c r="D141" s="582" t="s">
        <v>100</v>
      </c>
    </row>
    <row r="142" spans="1:4" ht="15">
      <c r="A142" s="583" t="s">
        <v>459</v>
      </c>
      <c r="B142" s="584" t="s">
        <v>1576</v>
      </c>
      <c r="C142" s="585">
        <v>23019.25</v>
      </c>
      <c r="D142" s="586" t="s">
        <v>100</v>
      </c>
    </row>
    <row r="143" spans="1:4" ht="15">
      <c r="A143" s="579" t="s">
        <v>461</v>
      </c>
      <c r="B143" s="580" t="s">
        <v>462</v>
      </c>
      <c r="C143" s="581">
        <v>635554.17000000004</v>
      </c>
      <c r="D143" s="582" t="s">
        <v>463</v>
      </c>
    </row>
    <row r="144" spans="1:4" ht="15">
      <c r="A144" s="583" t="s">
        <v>464</v>
      </c>
      <c r="B144" s="584" t="s">
        <v>465</v>
      </c>
      <c r="C144" s="585">
        <v>0</v>
      </c>
      <c r="D144" s="586" t="s">
        <v>100</v>
      </c>
    </row>
    <row r="145" spans="1:4" ht="15">
      <c r="A145" s="579" t="s">
        <v>466</v>
      </c>
      <c r="B145" s="580" t="s">
        <v>467</v>
      </c>
      <c r="C145" s="581">
        <v>0</v>
      </c>
      <c r="D145" s="582" t="s">
        <v>100</v>
      </c>
    </row>
    <row r="146" spans="1:4" ht="15">
      <c r="A146" s="583" t="s">
        <v>468</v>
      </c>
      <c r="B146" s="584" t="s">
        <v>469</v>
      </c>
      <c r="C146" s="585">
        <v>0</v>
      </c>
      <c r="D146" s="586" t="s">
        <v>100</v>
      </c>
    </row>
    <row r="147" spans="1:4" ht="15">
      <c r="A147" s="579" t="s">
        <v>470</v>
      </c>
      <c r="B147" s="580" t="s">
        <v>155</v>
      </c>
      <c r="C147" s="581">
        <v>0</v>
      </c>
      <c r="D147" s="582" t="s">
        <v>100</v>
      </c>
    </row>
    <row r="148" spans="1:4" ht="15">
      <c r="A148" s="583" t="s">
        <v>471</v>
      </c>
      <c r="B148" s="584" t="s">
        <v>472</v>
      </c>
      <c r="C148" s="585">
        <v>-1932744.3</v>
      </c>
      <c r="D148" s="586" t="s">
        <v>100</v>
      </c>
    </row>
    <row r="149" spans="1:4" ht="15">
      <c r="A149" s="579" t="s">
        <v>473</v>
      </c>
      <c r="B149" s="580" t="s">
        <v>474</v>
      </c>
      <c r="C149" s="581">
        <v>-653850.5</v>
      </c>
      <c r="D149" s="582" t="s">
        <v>100</v>
      </c>
    </row>
    <row r="150" spans="1:4" ht="15">
      <c r="A150" s="583" t="s">
        <v>478</v>
      </c>
      <c r="B150" s="584" t="s">
        <v>479</v>
      </c>
      <c r="C150" s="585">
        <v>188228.09</v>
      </c>
      <c r="D150" s="586" t="s">
        <v>100</v>
      </c>
    </row>
    <row r="151" spans="1:4" ht="15">
      <c r="A151" s="579" t="s">
        <v>480</v>
      </c>
      <c r="B151" s="580" t="s">
        <v>481</v>
      </c>
      <c r="C151" s="581">
        <v>-319927.12</v>
      </c>
      <c r="D151" s="582" t="s">
        <v>100</v>
      </c>
    </row>
    <row r="152" spans="1:4" ht="15">
      <c r="A152" s="583" t="s">
        <v>482</v>
      </c>
      <c r="B152" s="584" t="s">
        <v>278</v>
      </c>
      <c r="C152" s="585">
        <v>-2718293.83</v>
      </c>
      <c r="D152" s="586" t="s">
        <v>483</v>
      </c>
    </row>
    <row r="153" spans="1:4" ht="15">
      <c r="A153" s="579" t="s">
        <v>484</v>
      </c>
      <c r="B153" s="580" t="s">
        <v>485</v>
      </c>
      <c r="C153" s="581">
        <v>0</v>
      </c>
      <c r="D153" s="582" t="s">
        <v>100</v>
      </c>
    </row>
    <row r="154" spans="1:4" ht="15">
      <c r="A154" s="583" t="s">
        <v>486</v>
      </c>
      <c r="B154" s="584" t="s">
        <v>487</v>
      </c>
      <c r="C154" s="585">
        <v>53934.1</v>
      </c>
      <c r="D154" s="586" t="s">
        <v>100</v>
      </c>
    </row>
    <row r="155" spans="1:4" ht="15">
      <c r="A155" s="579" t="s">
        <v>488</v>
      </c>
      <c r="B155" s="580" t="s">
        <v>489</v>
      </c>
      <c r="C155" s="581">
        <v>248271.28</v>
      </c>
      <c r="D155" s="582" t="s">
        <v>100</v>
      </c>
    </row>
    <row r="156" spans="1:4" ht="15">
      <c r="A156" s="583" t="s">
        <v>490</v>
      </c>
      <c r="B156" s="584" t="s">
        <v>491</v>
      </c>
      <c r="C156" s="585">
        <v>8253.98</v>
      </c>
      <c r="D156" s="586" t="s">
        <v>100</v>
      </c>
    </row>
    <row r="157" spans="1:4" ht="15">
      <c r="A157" s="579" t="s">
        <v>492</v>
      </c>
      <c r="B157" s="580" t="s">
        <v>493</v>
      </c>
      <c r="C157" s="581">
        <v>-1947.92</v>
      </c>
      <c r="D157" s="582" t="s">
        <v>100</v>
      </c>
    </row>
    <row r="158" spans="1:4" ht="15">
      <c r="A158" s="583" t="s">
        <v>494</v>
      </c>
      <c r="B158" s="584" t="s">
        <v>495</v>
      </c>
      <c r="C158" s="585">
        <v>116878.61</v>
      </c>
      <c r="D158" s="586" t="s">
        <v>100</v>
      </c>
    </row>
    <row r="159" spans="1:4" ht="15">
      <c r="A159" s="579" t="s">
        <v>496</v>
      </c>
      <c r="B159" s="580" t="s">
        <v>497</v>
      </c>
      <c r="C159" s="581">
        <v>535280.42000000004</v>
      </c>
      <c r="D159" s="582" t="s">
        <v>100</v>
      </c>
    </row>
    <row r="160" spans="1:4" ht="15">
      <c r="A160" s="583" t="s">
        <v>1578</v>
      </c>
      <c r="B160" s="584" t="s">
        <v>1579</v>
      </c>
      <c r="C160" s="585">
        <v>53466.15</v>
      </c>
      <c r="D160" s="586" t="s">
        <v>100</v>
      </c>
    </row>
    <row r="161" spans="1:4" ht="15">
      <c r="A161" s="579" t="s">
        <v>498</v>
      </c>
      <c r="B161" s="580" t="s">
        <v>499</v>
      </c>
      <c r="C161" s="581">
        <v>-17645.32</v>
      </c>
      <c r="D161" s="582" t="s">
        <v>100</v>
      </c>
    </row>
    <row r="162" spans="1:4" ht="15">
      <c r="A162" s="583" t="s">
        <v>500</v>
      </c>
      <c r="B162" s="584" t="s">
        <v>501</v>
      </c>
      <c r="C162" s="585">
        <v>38082.15</v>
      </c>
      <c r="D162" s="586" t="s">
        <v>100</v>
      </c>
    </row>
    <row r="163" spans="1:4" ht="15">
      <c r="A163" s="579" t="s">
        <v>502</v>
      </c>
      <c r="B163" s="580" t="s">
        <v>503</v>
      </c>
      <c r="C163" s="581">
        <v>1034573.45</v>
      </c>
      <c r="D163" s="582" t="s">
        <v>504</v>
      </c>
    </row>
    <row r="164" spans="1:4" ht="15">
      <c r="A164" s="583" t="s">
        <v>505</v>
      </c>
      <c r="B164" s="584" t="s">
        <v>284</v>
      </c>
      <c r="C164" s="585">
        <v>0</v>
      </c>
      <c r="D164" s="586" t="s">
        <v>100</v>
      </c>
    </row>
    <row r="165" spans="1:4" ht="15">
      <c r="A165" s="579" t="s">
        <v>506</v>
      </c>
      <c r="B165" s="580" t="s">
        <v>507</v>
      </c>
      <c r="C165" s="581">
        <v>1373886.67</v>
      </c>
      <c r="D165" s="582" t="s">
        <v>100</v>
      </c>
    </row>
    <row r="166" spans="1:4" ht="15">
      <c r="A166" s="583" t="s">
        <v>508</v>
      </c>
      <c r="B166" s="584" t="s">
        <v>300</v>
      </c>
      <c r="C166" s="585">
        <v>35977.89</v>
      </c>
      <c r="D166" s="586" t="s">
        <v>100</v>
      </c>
    </row>
    <row r="167" spans="1:4" ht="15">
      <c r="A167" s="579" t="s">
        <v>509</v>
      </c>
      <c r="B167" s="580" t="s">
        <v>294</v>
      </c>
      <c r="C167" s="581">
        <v>-5859.15</v>
      </c>
      <c r="D167" s="582" t="s">
        <v>100</v>
      </c>
    </row>
    <row r="168" spans="1:4" ht="15">
      <c r="A168" s="583" t="s">
        <v>510</v>
      </c>
      <c r="B168" s="584" t="s">
        <v>511</v>
      </c>
      <c r="C168" s="585">
        <v>83811.28</v>
      </c>
      <c r="D168" s="586" t="s">
        <v>100</v>
      </c>
    </row>
    <row r="169" spans="1:4" ht="15">
      <c r="A169" s="579" t="s">
        <v>512</v>
      </c>
      <c r="B169" s="580" t="s">
        <v>513</v>
      </c>
      <c r="C169" s="581">
        <v>152429.67000000001</v>
      </c>
      <c r="D169" s="582" t="s">
        <v>100</v>
      </c>
    </row>
    <row r="170" spans="1:4" ht="15">
      <c r="A170" s="583" t="s">
        <v>514</v>
      </c>
      <c r="B170" s="584" t="s">
        <v>515</v>
      </c>
      <c r="C170" s="585">
        <v>13755.28</v>
      </c>
      <c r="D170" s="586" t="s">
        <v>100</v>
      </c>
    </row>
    <row r="171" spans="1:4" ht="15">
      <c r="A171" s="579" t="s">
        <v>516</v>
      </c>
      <c r="B171" s="580" t="s">
        <v>306</v>
      </c>
      <c r="C171" s="581">
        <v>15241.89</v>
      </c>
      <c r="D171" s="582" t="s">
        <v>100</v>
      </c>
    </row>
    <row r="172" spans="1:4" ht="15">
      <c r="A172" s="583" t="s">
        <v>517</v>
      </c>
      <c r="B172" s="584" t="s">
        <v>317</v>
      </c>
      <c r="C172" s="585">
        <v>24748.61</v>
      </c>
      <c r="D172" s="586" t="s">
        <v>100</v>
      </c>
    </row>
    <row r="173" spans="1:4" ht="15">
      <c r="A173" s="579" t="s">
        <v>518</v>
      </c>
      <c r="B173" s="580" t="s">
        <v>519</v>
      </c>
      <c r="C173" s="581">
        <v>76860.61</v>
      </c>
      <c r="D173" s="582" t="s">
        <v>100</v>
      </c>
    </row>
    <row r="174" spans="1:4" ht="15">
      <c r="A174" s="583" t="s">
        <v>520</v>
      </c>
      <c r="B174" s="584" t="s">
        <v>1558</v>
      </c>
      <c r="C174" s="585">
        <v>0</v>
      </c>
      <c r="D174" s="586" t="s">
        <v>100</v>
      </c>
    </row>
    <row r="175" spans="1:4" ht="15">
      <c r="A175" s="579" t="s">
        <v>522</v>
      </c>
      <c r="B175" s="580" t="s">
        <v>216</v>
      </c>
      <c r="C175" s="581">
        <v>0</v>
      </c>
      <c r="D175" s="582" t="s">
        <v>100</v>
      </c>
    </row>
    <row r="176" spans="1:4" ht="15">
      <c r="A176" s="583" t="s">
        <v>523</v>
      </c>
      <c r="B176" s="584" t="s">
        <v>524</v>
      </c>
      <c r="C176" s="585">
        <v>-5500</v>
      </c>
      <c r="D176" s="586" t="s">
        <v>100</v>
      </c>
    </row>
    <row r="177" spans="1:4" ht="15">
      <c r="A177" s="579" t="s">
        <v>525</v>
      </c>
      <c r="B177" s="580" t="s">
        <v>526</v>
      </c>
      <c r="C177" s="581">
        <v>-63577.84</v>
      </c>
      <c r="D177" s="582" t="s">
        <v>100</v>
      </c>
    </row>
    <row r="178" spans="1:4" ht="15">
      <c r="A178" s="583" t="s">
        <v>527</v>
      </c>
      <c r="B178" s="584" t="s">
        <v>341</v>
      </c>
      <c r="C178" s="585">
        <v>1701774.91</v>
      </c>
      <c r="D178" s="586" t="s">
        <v>528</v>
      </c>
    </row>
    <row r="179" spans="1:4" ht="15">
      <c r="A179" s="579" t="s">
        <v>529</v>
      </c>
      <c r="B179" s="580" t="s">
        <v>530</v>
      </c>
      <c r="C179" s="581">
        <v>0</v>
      </c>
      <c r="D179" s="582" t="s">
        <v>100</v>
      </c>
    </row>
    <row r="180" spans="1:4" ht="15">
      <c r="A180" s="583" t="s">
        <v>531</v>
      </c>
      <c r="B180" s="584" t="s">
        <v>532</v>
      </c>
      <c r="C180" s="585">
        <v>6279.97</v>
      </c>
      <c r="D180" s="586" t="s">
        <v>100</v>
      </c>
    </row>
    <row r="181" spans="1:4" ht="15">
      <c r="A181" s="579" t="s">
        <v>533</v>
      </c>
      <c r="B181" s="580" t="s">
        <v>534</v>
      </c>
      <c r="C181" s="581">
        <v>10057.040000000001</v>
      </c>
      <c r="D181" s="582" t="s">
        <v>100</v>
      </c>
    </row>
    <row r="182" spans="1:4" ht="15">
      <c r="A182" s="583" t="s">
        <v>535</v>
      </c>
      <c r="B182" s="584" t="s">
        <v>536</v>
      </c>
      <c r="C182" s="585">
        <v>3745.94</v>
      </c>
      <c r="D182" s="586" t="s">
        <v>100</v>
      </c>
    </row>
    <row r="183" spans="1:4" ht="15">
      <c r="A183" s="579" t="s">
        <v>537</v>
      </c>
      <c r="B183" s="580" t="s">
        <v>538</v>
      </c>
      <c r="C183" s="581">
        <v>0</v>
      </c>
      <c r="D183" s="582" t="s">
        <v>100</v>
      </c>
    </row>
    <row r="184" spans="1:4" ht="15">
      <c r="A184" s="583" t="s">
        <v>539</v>
      </c>
      <c r="B184" s="584" t="s">
        <v>540</v>
      </c>
      <c r="C184" s="585">
        <v>296887.48</v>
      </c>
      <c r="D184" s="586" t="s">
        <v>100</v>
      </c>
    </row>
    <row r="185" spans="1:4" ht="15">
      <c r="A185" s="579" t="s">
        <v>541</v>
      </c>
      <c r="B185" s="580" t="s">
        <v>542</v>
      </c>
      <c r="C185" s="581">
        <v>0</v>
      </c>
      <c r="D185" s="582" t="s">
        <v>100</v>
      </c>
    </row>
    <row r="186" spans="1:4" ht="15">
      <c r="A186" s="583" t="s">
        <v>543</v>
      </c>
      <c r="B186" s="584" t="s">
        <v>544</v>
      </c>
      <c r="C186" s="585">
        <v>6177.5</v>
      </c>
      <c r="D186" s="586" t="s">
        <v>100</v>
      </c>
    </row>
    <row r="187" spans="1:4" ht="15">
      <c r="A187" s="579" t="s">
        <v>545</v>
      </c>
      <c r="B187" s="580" t="s">
        <v>546</v>
      </c>
      <c r="C187" s="581">
        <v>46389.74</v>
      </c>
      <c r="D187" s="582" t="s">
        <v>100</v>
      </c>
    </row>
    <row r="188" spans="1:4" ht="15">
      <c r="A188" s="583" t="s">
        <v>547</v>
      </c>
      <c r="B188" s="584" t="s">
        <v>548</v>
      </c>
      <c r="C188" s="585">
        <v>369537.67</v>
      </c>
      <c r="D188" s="586" t="s">
        <v>549</v>
      </c>
    </row>
    <row r="189" spans="1:4" ht="15">
      <c r="A189" s="579" t="s">
        <v>550</v>
      </c>
      <c r="B189" s="580" t="s">
        <v>551</v>
      </c>
      <c r="C189" s="581">
        <v>0</v>
      </c>
      <c r="D189" s="582" t="s">
        <v>100</v>
      </c>
    </row>
    <row r="190" spans="1:4" ht="15">
      <c r="A190" s="583" t="s">
        <v>552</v>
      </c>
      <c r="B190" s="584" t="s">
        <v>553</v>
      </c>
      <c r="C190" s="585">
        <v>181636.26</v>
      </c>
      <c r="D190" s="586" t="s">
        <v>100</v>
      </c>
    </row>
    <row r="191" spans="1:4" ht="15">
      <c r="A191" s="579" t="s">
        <v>554</v>
      </c>
      <c r="B191" s="580" t="s">
        <v>555</v>
      </c>
      <c r="C191" s="581">
        <v>104445.81</v>
      </c>
      <c r="D191" s="582" t="s">
        <v>100</v>
      </c>
    </row>
    <row r="192" spans="1:4" ht="15">
      <c r="A192" s="583" t="s">
        <v>556</v>
      </c>
      <c r="B192" s="584" t="s">
        <v>1580</v>
      </c>
      <c r="C192" s="585">
        <v>1490567.42</v>
      </c>
      <c r="D192" s="586" t="s">
        <v>100</v>
      </c>
    </row>
    <row r="193" spans="1:4" ht="15">
      <c r="A193" s="579" t="s">
        <v>558</v>
      </c>
      <c r="B193" s="580" t="s">
        <v>559</v>
      </c>
      <c r="C193" s="581">
        <v>50878.02</v>
      </c>
      <c r="D193" s="582" t="s">
        <v>100</v>
      </c>
    </row>
    <row r="194" spans="1:4" ht="15">
      <c r="A194" s="583" t="s">
        <v>560</v>
      </c>
      <c r="B194" s="584" t="s">
        <v>561</v>
      </c>
      <c r="C194" s="585">
        <v>71365.59</v>
      </c>
      <c r="D194" s="586" t="s">
        <v>100</v>
      </c>
    </row>
    <row r="195" spans="1:4" ht="15">
      <c r="A195" s="579" t="s">
        <v>562</v>
      </c>
      <c r="B195" s="580" t="s">
        <v>563</v>
      </c>
      <c r="C195" s="581">
        <v>75113.84</v>
      </c>
      <c r="D195" s="582" t="s">
        <v>100</v>
      </c>
    </row>
    <row r="196" spans="1:4" ht="15">
      <c r="A196" s="583" t="s">
        <v>564</v>
      </c>
      <c r="B196" s="584" t="s">
        <v>565</v>
      </c>
      <c r="C196" s="585">
        <v>28000</v>
      </c>
      <c r="D196" s="586" t="s">
        <v>100</v>
      </c>
    </row>
    <row r="197" spans="1:4" ht="15">
      <c r="A197" s="579" t="s">
        <v>1581</v>
      </c>
      <c r="B197" s="580" t="s">
        <v>1582</v>
      </c>
      <c r="C197" s="581">
        <v>45525.42</v>
      </c>
      <c r="D197" s="582" t="s">
        <v>100</v>
      </c>
    </row>
    <row r="198" spans="1:4" ht="15">
      <c r="A198" s="583" t="s">
        <v>566</v>
      </c>
      <c r="B198" s="584" t="s">
        <v>567</v>
      </c>
      <c r="C198" s="585">
        <v>2047532.36</v>
      </c>
      <c r="D198" s="586" t="s">
        <v>568</v>
      </c>
    </row>
    <row r="199" spans="1:4" ht="15">
      <c r="A199" s="579" t="s">
        <v>569</v>
      </c>
      <c r="B199" s="580" t="s">
        <v>570</v>
      </c>
      <c r="C199" s="581">
        <v>0</v>
      </c>
      <c r="D199" s="582" t="s">
        <v>100</v>
      </c>
    </row>
    <row r="200" spans="1:4" ht="15">
      <c r="A200" s="583" t="s">
        <v>571</v>
      </c>
      <c r="B200" s="584" t="s">
        <v>572</v>
      </c>
      <c r="C200" s="585">
        <v>26184.04</v>
      </c>
      <c r="D200" s="586" t="s">
        <v>100</v>
      </c>
    </row>
    <row r="201" spans="1:4" ht="15">
      <c r="A201" s="579" t="s">
        <v>573</v>
      </c>
      <c r="B201" s="580" t="s">
        <v>574</v>
      </c>
      <c r="C201" s="581">
        <v>9000</v>
      </c>
      <c r="D201" s="582" t="s">
        <v>100</v>
      </c>
    </row>
    <row r="202" spans="1:4" ht="15">
      <c r="A202" s="583" t="s">
        <v>575</v>
      </c>
      <c r="B202" s="584" t="s">
        <v>576</v>
      </c>
      <c r="C202" s="585">
        <v>35184.04</v>
      </c>
      <c r="D202" s="586" t="s">
        <v>577</v>
      </c>
    </row>
    <row r="203" spans="1:4" ht="15">
      <c r="A203" s="579" t="s">
        <v>578</v>
      </c>
      <c r="B203" s="580" t="s">
        <v>579</v>
      </c>
      <c r="C203" s="581">
        <v>0</v>
      </c>
      <c r="D203" s="582" t="s">
        <v>100</v>
      </c>
    </row>
    <row r="204" spans="1:4" ht="15">
      <c r="A204" s="583" t="s">
        <v>580</v>
      </c>
      <c r="B204" s="584" t="s">
        <v>581</v>
      </c>
      <c r="C204" s="585">
        <v>28739.599999999999</v>
      </c>
      <c r="D204" s="586" t="s">
        <v>100</v>
      </c>
    </row>
    <row r="205" spans="1:4" ht="15">
      <c r="A205" s="579" t="s">
        <v>582</v>
      </c>
      <c r="B205" s="580" t="s">
        <v>583</v>
      </c>
      <c r="C205" s="581">
        <v>93591.26</v>
      </c>
      <c r="D205" s="582" t="s">
        <v>100</v>
      </c>
    </row>
    <row r="206" spans="1:4" ht="15">
      <c r="A206" s="583" t="s">
        <v>584</v>
      </c>
      <c r="B206" s="584" t="s">
        <v>585</v>
      </c>
      <c r="C206" s="585">
        <v>-26908</v>
      </c>
      <c r="D206" s="586" t="s">
        <v>100</v>
      </c>
    </row>
    <row r="207" spans="1:4" ht="15">
      <c r="A207" s="579" t="s">
        <v>586</v>
      </c>
      <c r="B207" s="580" t="s">
        <v>587</v>
      </c>
      <c r="C207" s="581">
        <v>159003.26999999999</v>
      </c>
      <c r="D207" s="582" t="s">
        <v>100</v>
      </c>
    </row>
    <row r="208" spans="1:4" ht="15">
      <c r="A208" s="583" t="s">
        <v>588</v>
      </c>
      <c r="B208" s="584" t="s">
        <v>1583</v>
      </c>
      <c r="C208" s="585">
        <v>0</v>
      </c>
      <c r="D208" s="586" t="s">
        <v>100</v>
      </c>
    </row>
    <row r="209" spans="1:4" ht="15">
      <c r="A209" s="579" t="s">
        <v>590</v>
      </c>
      <c r="B209" s="580" t="s">
        <v>591</v>
      </c>
      <c r="C209" s="581">
        <v>3942.41</v>
      </c>
      <c r="D209" s="582" t="s">
        <v>100</v>
      </c>
    </row>
    <row r="210" spans="1:4" ht="15">
      <c r="A210" s="583" t="s">
        <v>592</v>
      </c>
      <c r="B210" s="584" t="s">
        <v>593</v>
      </c>
      <c r="C210" s="585">
        <v>16100.68</v>
      </c>
      <c r="D210" s="586" t="s">
        <v>100</v>
      </c>
    </row>
    <row r="211" spans="1:4" ht="15">
      <c r="A211" s="579" t="s">
        <v>594</v>
      </c>
      <c r="B211" s="580" t="s">
        <v>595</v>
      </c>
      <c r="C211" s="581">
        <v>274469.21999999997</v>
      </c>
      <c r="D211" s="582" t="s">
        <v>596</v>
      </c>
    </row>
    <row r="212" spans="1:4" ht="15">
      <c r="A212" s="583" t="s">
        <v>597</v>
      </c>
      <c r="B212" s="584" t="s">
        <v>595</v>
      </c>
      <c r="C212" s="585">
        <v>0</v>
      </c>
      <c r="D212" s="586" t="s">
        <v>100</v>
      </c>
    </row>
    <row r="213" spans="1:4" ht="15">
      <c r="A213" s="579" t="s">
        <v>599</v>
      </c>
      <c r="B213" s="580" t="s">
        <v>600</v>
      </c>
      <c r="C213" s="581">
        <v>0</v>
      </c>
      <c r="D213" s="582" t="s">
        <v>100</v>
      </c>
    </row>
    <row r="214" spans="1:4" ht="15">
      <c r="A214" s="583" t="s">
        <v>601</v>
      </c>
      <c r="B214" s="584" t="s">
        <v>602</v>
      </c>
      <c r="C214" s="585">
        <v>0</v>
      </c>
      <c r="D214" s="586" t="s">
        <v>100</v>
      </c>
    </row>
    <row r="215" spans="1:4" ht="15">
      <c r="A215" s="579" t="s">
        <v>603</v>
      </c>
      <c r="B215" s="580" t="s">
        <v>604</v>
      </c>
      <c r="C215" s="581">
        <v>22330.02</v>
      </c>
      <c r="D215" s="582" t="s">
        <v>100</v>
      </c>
    </row>
    <row r="216" spans="1:4" ht="15">
      <c r="A216" s="583" t="s">
        <v>605</v>
      </c>
      <c r="B216" s="584" t="s">
        <v>606</v>
      </c>
      <c r="C216" s="585">
        <v>0</v>
      </c>
      <c r="D216" s="586" t="s">
        <v>100</v>
      </c>
    </row>
    <row r="217" spans="1:4" ht="15">
      <c r="A217" s="579" t="s">
        <v>607</v>
      </c>
      <c r="B217" s="580" t="s">
        <v>608</v>
      </c>
      <c r="C217" s="581">
        <v>22563.69</v>
      </c>
      <c r="D217" s="582" t="s">
        <v>100</v>
      </c>
    </row>
    <row r="218" spans="1:4" ht="15">
      <c r="A218" s="583" t="s">
        <v>609</v>
      </c>
      <c r="B218" s="584" t="s">
        <v>610</v>
      </c>
      <c r="C218" s="585">
        <v>0</v>
      </c>
      <c r="D218" s="586" t="s">
        <v>100</v>
      </c>
    </row>
    <row r="219" spans="1:4" ht="15">
      <c r="A219" s="579" t="s">
        <v>611</v>
      </c>
      <c r="B219" s="580" t="s">
        <v>612</v>
      </c>
      <c r="C219" s="581">
        <v>707.26</v>
      </c>
      <c r="D219" s="582" t="s">
        <v>100</v>
      </c>
    </row>
    <row r="220" spans="1:4" ht="15">
      <c r="A220" s="583" t="s">
        <v>613</v>
      </c>
      <c r="B220" s="584" t="s">
        <v>614</v>
      </c>
      <c r="C220" s="585">
        <v>0</v>
      </c>
      <c r="D220" s="586" t="s">
        <v>100</v>
      </c>
    </row>
    <row r="221" spans="1:4" ht="15">
      <c r="A221" s="579" t="s">
        <v>615</v>
      </c>
      <c r="B221" s="580" t="s">
        <v>616</v>
      </c>
      <c r="C221" s="581">
        <v>0</v>
      </c>
      <c r="D221" s="582" t="s">
        <v>100</v>
      </c>
    </row>
    <row r="222" spans="1:4" ht="15">
      <c r="A222" s="583" t="s">
        <v>617</v>
      </c>
      <c r="B222" s="584" t="s">
        <v>618</v>
      </c>
      <c r="C222" s="585">
        <v>45600.97</v>
      </c>
      <c r="D222" s="586" t="s">
        <v>619</v>
      </c>
    </row>
    <row r="223" spans="1:4" ht="15">
      <c r="A223" s="579" t="s">
        <v>620</v>
      </c>
      <c r="B223" s="580" t="s">
        <v>621</v>
      </c>
      <c r="C223" s="581">
        <v>2790378.79</v>
      </c>
      <c r="D223" s="582" t="s">
        <v>622</v>
      </c>
    </row>
    <row r="224" spans="1:4" ht="15">
      <c r="A224" s="583" t="s">
        <v>623</v>
      </c>
      <c r="B224" s="584" t="s">
        <v>624</v>
      </c>
      <c r="C224" s="585">
        <v>2790378.79</v>
      </c>
      <c r="D224" s="586" t="s">
        <v>625</v>
      </c>
    </row>
    <row r="225" spans="1:4" ht="15">
      <c r="A225" s="579" t="s">
        <v>626</v>
      </c>
      <c r="B225" s="580" t="s">
        <v>627</v>
      </c>
      <c r="C225" s="581">
        <v>0</v>
      </c>
      <c r="D225" s="582" t="s">
        <v>100</v>
      </c>
    </row>
    <row r="226" spans="1:4" ht="15">
      <c r="A226" s="583" t="s">
        <v>628</v>
      </c>
      <c r="B226" s="584" t="s">
        <v>629</v>
      </c>
      <c r="C226" s="585">
        <v>7885.26</v>
      </c>
      <c r="D226" s="586" t="s">
        <v>100</v>
      </c>
    </row>
    <row r="227" spans="1:4" ht="15">
      <c r="A227" s="579" t="s">
        <v>630</v>
      </c>
      <c r="B227" s="580" t="s">
        <v>631</v>
      </c>
      <c r="C227" s="581">
        <v>7885.26</v>
      </c>
      <c r="D227" s="582" t="s">
        <v>632</v>
      </c>
    </row>
    <row r="228" spans="1:4" ht="15">
      <c r="A228" s="583" t="s">
        <v>633</v>
      </c>
      <c r="B228" s="584" t="s">
        <v>634</v>
      </c>
      <c r="C228" s="585">
        <v>2798264.05</v>
      </c>
      <c r="D228" s="586" t="s">
        <v>635</v>
      </c>
    </row>
    <row r="229" spans="1:4" ht="15">
      <c r="A229" s="579" t="s">
        <v>636</v>
      </c>
      <c r="B229" s="580" t="s">
        <v>637</v>
      </c>
      <c r="C229" s="581">
        <v>0</v>
      </c>
      <c r="D229" s="582" t="s">
        <v>100</v>
      </c>
    </row>
    <row r="230" spans="1:4" ht="15">
      <c r="A230" s="583" t="s">
        <v>638</v>
      </c>
      <c r="B230" s="584" t="s">
        <v>639</v>
      </c>
      <c r="C230" s="585">
        <v>0</v>
      </c>
      <c r="D230" s="586" t="s">
        <v>100</v>
      </c>
    </row>
    <row r="231" spans="1:4" ht="15">
      <c r="A231" s="579" t="s">
        <v>640</v>
      </c>
      <c r="B231" s="580" t="s">
        <v>641</v>
      </c>
      <c r="C231" s="581">
        <v>-1018168</v>
      </c>
      <c r="D231" s="582" t="s">
        <v>100</v>
      </c>
    </row>
    <row r="232" spans="1:4" ht="15">
      <c r="A232" s="583" t="s">
        <v>642</v>
      </c>
      <c r="B232" s="584" t="s">
        <v>643</v>
      </c>
      <c r="C232" s="585">
        <v>-46724.71</v>
      </c>
      <c r="D232" s="586" t="s">
        <v>100</v>
      </c>
    </row>
    <row r="233" spans="1:4" ht="15">
      <c r="A233" s="579" t="s">
        <v>644</v>
      </c>
      <c r="B233" s="580" t="s">
        <v>645</v>
      </c>
      <c r="C233" s="581">
        <v>0</v>
      </c>
      <c r="D233" s="582" t="s">
        <v>100</v>
      </c>
    </row>
    <row r="234" spans="1:4" ht="15">
      <c r="A234" s="583" t="s">
        <v>646</v>
      </c>
      <c r="B234" s="584" t="s">
        <v>202</v>
      </c>
      <c r="C234" s="585">
        <v>0</v>
      </c>
      <c r="D234" s="586" t="s">
        <v>100</v>
      </c>
    </row>
    <row r="235" spans="1:4" ht="15">
      <c r="A235" s="579" t="s">
        <v>647</v>
      </c>
      <c r="B235" s="580" t="s">
        <v>648</v>
      </c>
      <c r="C235" s="581">
        <v>27000</v>
      </c>
      <c r="D235" s="582" t="s">
        <v>100</v>
      </c>
    </row>
    <row r="236" spans="1:4" ht="15">
      <c r="A236" s="583" t="s">
        <v>649</v>
      </c>
      <c r="B236" s="584" t="s">
        <v>650</v>
      </c>
      <c r="C236" s="585">
        <v>69231.929999999993</v>
      </c>
      <c r="D236" s="586" t="s">
        <v>100</v>
      </c>
    </row>
    <row r="237" spans="1:4" ht="15">
      <c r="A237" s="579" t="s">
        <v>651</v>
      </c>
      <c r="B237" s="580" t="s">
        <v>652</v>
      </c>
      <c r="C237" s="581">
        <v>85425.67</v>
      </c>
      <c r="D237" s="582" t="s">
        <v>100</v>
      </c>
    </row>
    <row r="238" spans="1:4" ht="15">
      <c r="A238" s="583" t="s">
        <v>653</v>
      </c>
      <c r="B238" s="584" t="s">
        <v>654</v>
      </c>
      <c r="C238" s="585">
        <v>7390</v>
      </c>
      <c r="D238" s="586" t="s">
        <v>100</v>
      </c>
    </row>
    <row r="239" spans="1:4" ht="15">
      <c r="A239" s="579" t="s">
        <v>655</v>
      </c>
      <c r="B239" s="580" t="s">
        <v>656</v>
      </c>
      <c r="C239" s="581">
        <v>2525.75</v>
      </c>
      <c r="D239" s="582" t="s">
        <v>100</v>
      </c>
    </row>
    <row r="240" spans="1:4" ht="15">
      <c r="A240" s="583" t="s">
        <v>657</v>
      </c>
      <c r="B240" s="584" t="s">
        <v>658</v>
      </c>
      <c r="C240" s="585">
        <v>12</v>
      </c>
      <c r="D240" s="586" t="s">
        <v>100</v>
      </c>
    </row>
    <row r="241" spans="1:4" ht="15">
      <c r="A241" s="579" t="s">
        <v>659</v>
      </c>
      <c r="B241" s="580" t="s">
        <v>660</v>
      </c>
      <c r="C241" s="581">
        <v>292233.25</v>
      </c>
      <c r="D241" s="582" t="s">
        <v>100</v>
      </c>
    </row>
    <row r="242" spans="1:4" ht="15">
      <c r="A242" s="583" t="s">
        <v>661</v>
      </c>
      <c r="B242" s="584" t="s">
        <v>662</v>
      </c>
      <c r="C242" s="585">
        <v>40</v>
      </c>
      <c r="D242" s="586" t="s">
        <v>100</v>
      </c>
    </row>
    <row r="243" spans="1:4" ht="15">
      <c r="A243" s="579" t="s">
        <v>663</v>
      </c>
      <c r="B243" s="580" t="s">
        <v>664</v>
      </c>
      <c r="C243" s="581">
        <v>265194.73</v>
      </c>
      <c r="D243" s="582" t="s">
        <v>100</v>
      </c>
    </row>
    <row r="244" spans="1:4" ht="15">
      <c r="A244" s="583" t="s">
        <v>665</v>
      </c>
      <c r="B244" s="584" t="s">
        <v>666</v>
      </c>
      <c r="C244" s="585">
        <v>10330.44</v>
      </c>
      <c r="D244" s="586" t="s">
        <v>100</v>
      </c>
    </row>
    <row r="245" spans="1:4" ht="15">
      <c r="A245" s="579" t="s">
        <v>667</v>
      </c>
      <c r="B245" s="580" t="s">
        <v>220</v>
      </c>
      <c r="C245" s="581">
        <v>947.35</v>
      </c>
      <c r="D245" s="582" t="s">
        <v>100</v>
      </c>
    </row>
    <row r="246" spans="1:4" ht="15">
      <c r="A246" s="583" t="s">
        <v>668</v>
      </c>
      <c r="B246" s="584" t="s">
        <v>669</v>
      </c>
      <c r="C246" s="585">
        <v>59250</v>
      </c>
      <c r="D246" s="586" t="s">
        <v>100</v>
      </c>
    </row>
    <row r="247" spans="1:4" ht="15">
      <c r="A247" s="579" t="s">
        <v>670</v>
      </c>
      <c r="B247" s="580" t="s">
        <v>671</v>
      </c>
      <c r="C247" s="581">
        <v>0</v>
      </c>
      <c r="D247" s="582" t="s">
        <v>100</v>
      </c>
    </row>
    <row r="248" spans="1:4" ht="15">
      <c r="A248" s="583" t="s">
        <v>672</v>
      </c>
      <c r="B248" s="584" t="s">
        <v>1586</v>
      </c>
      <c r="C248" s="585">
        <v>-245311.59</v>
      </c>
      <c r="D248" s="586" t="s">
        <v>674</v>
      </c>
    </row>
    <row r="249" spans="1:4" ht="15">
      <c r="A249" s="579" t="s">
        <v>675</v>
      </c>
      <c r="B249" s="580" t="s">
        <v>676</v>
      </c>
      <c r="C249" s="581">
        <v>0</v>
      </c>
      <c r="D249" s="582" t="s">
        <v>100</v>
      </c>
    </row>
    <row r="250" spans="1:4" ht="15">
      <c r="A250" s="583" t="s">
        <v>677</v>
      </c>
      <c r="B250" s="584" t="s">
        <v>678</v>
      </c>
      <c r="C250" s="585">
        <v>0</v>
      </c>
      <c r="D250" s="586" t="s">
        <v>100</v>
      </c>
    </row>
    <row r="251" spans="1:4" ht="15">
      <c r="A251" s="579" t="s">
        <v>679</v>
      </c>
      <c r="B251" s="580" t="s">
        <v>680</v>
      </c>
      <c r="C251" s="581">
        <v>0</v>
      </c>
      <c r="D251" s="582" t="s">
        <v>100</v>
      </c>
    </row>
    <row r="252" spans="1:4" ht="15">
      <c r="A252" s="583" t="s">
        <v>681</v>
      </c>
      <c r="B252" s="584" t="s">
        <v>682</v>
      </c>
      <c r="C252" s="585">
        <v>0</v>
      </c>
      <c r="D252" s="586" t="s">
        <v>683</v>
      </c>
    </row>
    <row r="253" spans="1:4" ht="15">
      <c r="A253" s="579" t="s">
        <v>684</v>
      </c>
      <c r="B253" s="580" t="s">
        <v>685</v>
      </c>
      <c r="C253" s="581">
        <v>0</v>
      </c>
      <c r="D253" s="582" t="s">
        <v>100</v>
      </c>
    </row>
    <row r="254" spans="1:4" ht="15">
      <c r="A254" s="583" t="s">
        <v>686</v>
      </c>
      <c r="B254" s="584" t="s">
        <v>687</v>
      </c>
      <c r="C254" s="585">
        <v>96145.19</v>
      </c>
      <c r="D254" s="586" t="s">
        <v>100</v>
      </c>
    </row>
    <row r="255" spans="1:4" ht="15">
      <c r="A255" s="579" t="s">
        <v>688</v>
      </c>
      <c r="B255" s="580" t="s">
        <v>689</v>
      </c>
      <c r="C255" s="581">
        <v>1470</v>
      </c>
      <c r="D255" s="582" t="s">
        <v>100</v>
      </c>
    </row>
    <row r="256" spans="1:4" ht="15">
      <c r="A256" s="583" t="s">
        <v>690</v>
      </c>
      <c r="B256" s="584" t="s">
        <v>691</v>
      </c>
      <c r="C256" s="585">
        <v>80540.45</v>
      </c>
      <c r="D256" s="586" t="s">
        <v>100</v>
      </c>
    </row>
    <row r="257" spans="1:4" ht="15">
      <c r="A257" s="579" t="s">
        <v>692</v>
      </c>
      <c r="B257" s="580" t="s">
        <v>693</v>
      </c>
      <c r="C257" s="581">
        <v>17753.259999999998</v>
      </c>
      <c r="D257" s="582" t="s">
        <v>100</v>
      </c>
    </row>
    <row r="258" spans="1:4" ht="15">
      <c r="A258" s="583" t="s">
        <v>694</v>
      </c>
      <c r="B258" s="584" t="s">
        <v>695</v>
      </c>
      <c r="C258" s="585">
        <v>0</v>
      </c>
      <c r="D258" s="586" t="s">
        <v>100</v>
      </c>
    </row>
    <row r="259" spans="1:4" ht="15">
      <c r="A259" s="579" t="s">
        <v>696</v>
      </c>
      <c r="B259" s="580" t="s">
        <v>697</v>
      </c>
      <c r="C259" s="581">
        <v>195908.9</v>
      </c>
      <c r="D259" s="582" t="s">
        <v>698</v>
      </c>
    </row>
    <row r="260" spans="1:4" ht="15">
      <c r="A260" s="583" t="s">
        <v>699</v>
      </c>
      <c r="B260" s="584" t="s">
        <v>700</v>
      </c>
      <c r="C260" s="585">
        <v>0</v>
      </c>
      <c r="D260" s="586" t="s">
        <v>100</v>
      </c>
    </row>
    <row r="261" spans="1:4" ht="15">
      <c r="A261" s="579" t="s">
        <v>701</v>
      </c>
      <c r="B261" s="580" t="s">
        <v>702</v>
      </c>
      <c r="C261" s="581">
        <v>0</v>
      </c>
      <c r="D261" s="582" t="s">
        <v>100</v>
      </c>
    </row>
    <row r="262" spans="1:4" ht="15">
      <c r="A262" s="583" t="s">
        <v>703</v>
      </c>
      <c r="B262" s="584" t="s">
        <v>704</v>
      </c>
      <c r="C262" s="585">
        <v>0</v>
      </c>
      <c r="D262" s="586" t="s">
        <v>100</v>
      </c>
    </row>
    <row r="263" spans="1:4" ht="15">
      <c r="A263" s="579" t="s">
        <v>705</v>
      </c>
      <c r="B263" s="580" t="s">
        <v>664</v>
      </c>
      <c r="C263" s="581">
        <v>0</v>
      </c>
      <c r="D263" s="582" t="s">
        <v>100</v>
      </c>
    </row>
    <row r="264" spans="1:4" ht="15">
      <c r="A264" s="583" t="s">
        <v>706</v>
      </c>
      <c r="B264" s="584" t="s">
        <v>707</v>
      </c>
      <c r="C264" s="585">
        <v>0</v>
      </c>
      <c r="D264" s="586" t="s">
        <v>100</v>
      </c>
    </row>
    <row r="265" spans="1:4" ht="15">
      <c r="A265" s="579" t="s">
        <v>708</v>
      </c>
      <c r="B265" s="580" t="s">
        <v>709</v>
      </c>
      <c r="C265" s="581">
        <v>0</v>
      </c>
      <c r="D265" s="582" t="s">
        <v>100</v>
      </c>
    </row>
    <row r="266" spans="1:4" ht="15">
      <c r="A266" s="583" t="s">
        <v>710</v>
      </c>
      <c r="B266" s="584" t="s">
        <v>711</v>
      </c>
      <c r="C266" s="585">
        <v>0</v>
      </c>
      <c r="D266" s="586" t="s">
        <v>100</v>
      </c>
    </row>
    <row r="267" spans="1:4" ht="15">
      <c r="A267" s="579" t="s">
        <v>712</v>
      </c>
      <c r="B267" s="580" t="s">
        <v>713</v>
      </c>
      <c r="C267" s="581">
        <v>0</v>
      </c>
      <c r="D267" s="582" t="s">
        <v>714</v>
      </c>
    </row>
    <row r="268" spans="1:4" ht="15">
      <c r="A268" s="583" t="s">
        <v>715</v>
      </c>
      <c r="B268" s="584" t="s">
        <v>716</v>
      </c>
      <c r="C268" s="585">
        <v>-49402.69</v>
      </c>
      <c r="D268" s="586" t="s">
        <v>717</v>
      </c>
    </row>
    <row r="269" spans="1:4" ht="15">
      <c r="A269" s="579" t="s">
        <v>718</v>
      </c>
      <c r="B269" s="580" t="s">
        <v>719</v>
      </c>
      <c r="C269" s="581">
        <v>0</v>
      </c>
      <c r="D269" s="582" t="s">
        <v>100</v>
      </c>
    </row>
    <row r="270" spans="1:4" ht="15">
      <c r="A270" s="583" t="s">
        <v>720</v>
      </c>
      <c r="B270" s="584" t="s">
        <v>721</v>
      </c>
      <c r="C270" s="585">
        <v>0</v>
      </c>
      <c r="D270" s="586" t="s">
        <v>100</v>
      </c>
    </row>
    <row r="271" spans="1:4" ht="15">
      <c r="A271" s="579" t="s">
        <v>722</v>
      </c>
      <c r="B271" s="580" t="s">
        <v>723</v>
      </c>
      <c r="C271" s="581">
        <v>-49138.16</v>
      </c>
      <c r="D271" s="582" t="s">
        <v>100</v>
      </c>
    </row>
    <row r="272" spans="1:4" ht="15">
      <c r="A272" s="583" t="s">
        <v>724</v>
      </c>
      <c r="B272" s="584" t="s">
        <v>725</v>
      </c>
      <c r="C272" s="585">
        <v>-0.6</v>
      </c>
      <c r="D272" s="586" t="s">
        <v>100</v>
      </c>
    </row>
    <row r="273" spans="1:4" ht="15">
      <c r="A273" s="579" t="s">
        <v>726</v>
      </c>
      <c r="B273" s="580" t="s">
        <v>727</v>
      </c>
      <c r="C273" s="581">
        <v>-86240</v>
      </c>
      <c r="D273" s="582" t="s">
        <v>100</v>
      </c>
    </row>
    <row r="274" spans="1:4" ht="15">
      <c r="A274" s="583" t="s">
        <v>728</v>
      </c>
      <c r="B274" s="584" t="s">
        <v>729</v>
      </c>
      <c r="C274" s="585">
        <v>175132.37</v>
      </c>
      <c r="D274" s="586" t="s">
        <v>100</v>
      </c>
    </row>
    <row r="275" spans="1:4" ht="15">
      <c r="A275" s="579" t="s">
        <v>730</v>
      </c>
      <c r="B275" s="580" t="s">
        <v>731</v>
      </c>
      <c r="C275" s="581">
        <v>0</v>
      </c>
      <c r="D275" s="582" t="s">
        <v>100</v>
      </c>
    </row>
    <row r="276" spans="1:4" ht="15">
      <c r="A276" s="583" t="s">
        <v>732</v>
      </c>
      <c r="B276" s="584" t="s">
        <v>733</v>
      </c>
      <c r="C276" s="585">
        <v>0</v>
      </c>
      <c r="D276" s="586" t="s">
        <v>100</v>
      </c>
    </row>
    <row r="277" spans="1:4" ht="15">
      <c r="A277" s="579" t="s">
        <v>734</v>
      </c>
      <c r="B277" s="580" t="s">
        <v>735</v>
      </c>
      <c r="C277" s="581">
        <v>0</v>
      </c>
      <c r="D277" s="582" t="s">
        <v>100</v>
      </c>
    </row>
    <row r="278" spans="1:4" ht="15">
      <c r="A278" s="583" t="s">
        <v>736</v>
      </c>
      <c r="B278" s="584" t="s">
        <v>737</v>
      </c>
      <c r="C278" s="585">
        <v>4331.25</v>
      </c>
      <c r="D278" s="586" t="s">
        <v>100</v>
      </c>
    </row>
    <row r="279" spans="1:4" ht="15">
      <c r="A279" s="579" t="s">
        <v>738</v>
      </c>
      <c r="B279" s="580" t="s">
        <v>739</v>
      </c>
      <c r="C279" s="581">
        <v>0</v>
      </c>
      <c r="D279" s="582" t="s">
        <v>100</v>
      </c>
    </row>
    <row r="280" spans="1:4" ht="15">
      <c r="A280" s="583" t="s">
        <v>740</v>
      </c>
      <c r="B280" s="584" t="s">
        <v>741</v>
      </c>
      <c r="C280" s="585">
        <v>6819.33</v>
      </c>
      <c r="D280" s="586" t="s">
        <v>100</v>
      </c>
    </row>
    <row r="281" spans="1:4" ht="15">
      <c r="A281" s="579" t="s">
        <v>742</v>
      </c>
      <c r="B281" s="580" t="s">
        <v>743</v>
      </c>
      <c r="C281" s="581">
        <v>4793.25</v>
      </c>
      <c r="D281" s="582" t="s">
        <v>100</v>
      </c>
    </row>
    <row r="282" spans="1:4" ht="15">
      <c r="A282" s="583" t="s">
        <v>744</v>
      </c>
      <c r="B282" s="584" t="s">
        <v>536</v>
      </c>
      <c r="C282" s="585">
        <v>8670.42</v>
      </c>
      <c r="D282" s="586" t="s">
        <v>100</v>
      </c>
    </row>
    <row r="283" spans="1:4" ht="15">
      <c r="A283" s="579" t="s">
        <v>745</v>
      </c>
      <c r="B283" s="580" t="s">
        <v>746</v>
      </c>
      <c r="C283" s="581">
        <v>20338.849999999999</v>
      </c>
      <c r="D283" s="582" t="s">
        <v>100</v>
      </c>
    </row>
    <row r="284" spans="1:4" ht="15">
      <c r="A284" s="583" t="s">
        <v>747</v>
      </c>
      <c r="B284" s="584" t="s">
        <v>748</v>
      </c>
      <c r="C284" s="585">
        <v>17250</v>
      </c>
      <c r="D284" s="586" t="s">
        <v>100</v>
      </c>
    </row>
    <row r="285" spans="1:4" ht="15">
      <c r="A285" s="579" t="s">
        <v>749</v>
      </c>
      <c r="B285" s="580" t="s">
        <v>750</v>
      </c>
      <c r="C285" s="581">
        <v>56400</v>
      </c>
      <c r="D285" s="582" t="s">
        <v>100</v>
      </c>
    </row>
    <row r="286" spans="1:4" ht="15">
      <c r="A286" s="583" t="s">
        <v>751</v>
      </c>
      <c r="B286" s="584" t="s">
        <v>752</v>
      </c>
      <c r="C286" s="585">
        <v>61463.91</v>
      </c>
      <c r="D286" s="586" t="s">
        <v>100</v>
      </c>
    </row>
    <row r="287" spans="1:4" ht="15">
      <c r="A287" s="579" t="s">
        <v>753</v>
      </c>
      <c r="B287" s="580" t="s">
        <v>220</v>
      </c>
      <c r="C287" s="581">
        <v>22692.33</v>
      </c>
      <c r="D287" s="582" t="s">
        <v>100</v>
      </c>
    </row>
    <row r="288" spans="1:4" ht="15">
      <c r="A288" s="583" t="s">
        <v>754</v>
      </c>
      <c r="B288" s="584" t="s">
        <v>755</v>
      </c>
      <c r="C288" s="585">
        <v>-169.59</v>
      </c>
      <c r="D288" s="586" t="s">
        <v>100</v>
      </c>
    </row>
    <row r="289" spans="1:4" ht="15">
      <c r="A289" s="579" t="s">
        <v>756</v>
      </c>
      <c r="B289" s="580" t="s">
        <v>757</v>
      </c>
      <c r="C289" s="581">
        <v>0</v>
      </c>
      <c r="D289" s="582" t="s">
        <v>100</v>
      </c>
    </row>
    <row r="290" spans="1:4" ht="15">
      <c r="A290" s="583" t="s">
        <v>758</v>
      </c>
      <c r="B290" s="584" t="s">
        <v>759</v>
      </c>
      <c r="C290" s="585">
        <v>242343.36</v>
      </c>
      <c r="D290" s="586" t="s">
        <v>760</v>
      </c>
    </row>
    <row r="291" spans="1:4" ht="15">
      <c r="A291" s="579" t="s">
        <v>761</v>
      </c>
      <c r="B291" s="580" t="s">
        <v>762</v>
      </c>
      <c r="C291" s="581">
        <v>0</v>
      </c>
      <c r="D291" s="582" t="s">
        <v>100</v>
      </c>
    </row>
    <row r="292" spans="1:4" ht="15">
      <c r="A292" s="583" t="s">
        <v>763</v>
      </c>
      <c r="B292" s="584" t="s">
        <v>764</v>
      </c>
      <c r="C292" s="585">
        <v>288828.78000000003</v>
      </c>
      <c r="D292" s="586" t="s">
        <v>100</v>
      </c>
    </row>
    <row r="293" spans="1:4" ht="15">
      <c r="A293" s="579" t="s">
        <v>765</v>
      </c>
      <c r="B293" s="580" t="s">
        <v>766</v>
      </c>
      <c r="C293" s="581">
        <v>0</v>
      </c>
      <c r="D293" s="582" t="s">
        <v>100</v>
      </c>
    </row>
    <row r="294" spans="1:4" ht="15">
      <c r="A294" s="583" t="s">
        <v>767</v>
      </c>
      <c r="B294" s="584" t="s">
        <v>768</v>
      </c>
      <c r="C294" s="585">
        <v>116196.22</v>
      </c>
      <c r="D294" s="586" t="s">
        <v>100</v>
      </c>
    </row>
    <row r="295" spans="1:4" ht="15">
      <c r="A295" s="579" t="s">
        <v>769</v>
      </c>
      <c r="B295" s="580" t="s">
        <v>770</v>
      </c>
      <c r="C295" s="581">
        <v>2317.1</v>
      </c>
      <c r="D295" s="582" t="s">
        <v>100</v>
      </c>
    </row>
    <row r="296" spans="1:4" ht="15">
      <c r="A296" s="583" t="s">
        <v>771</v>
      </c>
      <c r="B296" s="584" t="s">
        <v>772</v>
      </c>
      <c r="C296" s="585">
        <v>-299.07</v>
      </c>
      <c r="D296" s="586" t="s">
        <v>100</v>
      </c>
    </row>
    <row r="297" spans="1:4" ht="15">
      <c r="A297" s="579" t="s">
        <v>773</v>
      </c>
      <c r="B297" s="580" t="s">
        <v>774</v>
      </c>
      <c r="C297" s="581">
        <v>0</v>
      </c>
      <c r="D297" s="582" t="s">
        <v>100</v>
      </c>
    </row>
    <row r="298" spans="1:4" ht="15">
      <c r="A298" s="583" t="s">
        <v>775</v>
      </c>
      <c r="B298" s="584" t="s">
        <v>776</v>
      </c>
      <c r="C298" s="585">
        <v>407043.03</v>
      </c>
      <c r="D298" s="586" t="s">
        <v>777</v>
      </c>
    </row>
    <row r="299" spans="1:4" ht="15">
      <c r="A299" s="579" t="s">
        <v>778</v>
      </c>
      <c r="B299" s="580" t="s">
        <v>779</v>
      </c>
      <c r="C299" s="581">
        <v>0</v>
      </c>
      <c r="D299" s="582" t="s">
        <v>100</v>
      </c>
    </row>
    <row r="300" spans="1:4" ht="15">
      <c r="A300" s="583" t="s">
        <v>780</v>
      </c>
      <c r="B300" s="584" t="s">
        <v>781</v>
      </c>
      <c r="C300" s="585">
        <v>94031</v>
      </c>
      <c r="D300" s="586" t="s">
        <v>100</v>
      </c>
    </row>
    <row r="301" spans="1:4" ht="15">
      <c r="A301" s="579" t="s">
        <v>782</v>
      </c>
      <c r="B301" s="580" t="s">
        <v>446</v>
      </c>
      <c r="C301" s="581">
        <v>70466.490000000005</v>
      </c>
      <c r="D301" s="582" t="s">
        <v>100</v>
      </c>
    </row>
    <row r="302" spans="1:4" ht="15">
      <c r="A302" s="583" t="s">
        <v>783</v>
      </c>
      <c r="B302" s="584" t="s">
        <v>784</v>
      </c>
      <c r="C302" s="585">
        <v>0</v>
      </c>
      <c r="D302" s="586" t="s">
        <v>100</v>
      </c>
    </row>
    <row r="303" spans="1:4" ht="15">
      <c r="A303" s="579" t="s">
        <v>785</v>
      </c>
      <c r="B303" s="580" t="s">
        <v>786</v>
      </c>
      <c r="C303" s="581">
        <v>164497.49</v>
      </c>
      <c r="D303" s="582" t="s">
        <v>787</v>
      </c>
    </row>
    <row r="304" spans="1:4" ht="15">
      <c r="A304" s="583" t="s">
        <v>788</v>
      </c>
      <c r="B304" s="584" t="s">
        <v>789</v>
      </c>
      <c r="C304" s="585">
        <v>0</v>
      </c>
      <c r="D304" s="586" t="s">
        <v>100</v>
      </c>
    </row>
    <row r="305" spans="1:4" ht="15">
      <c r="A305" s="579" t="s">
        <v>790</v>
      </c>
      <c r="B305" s="580" t="s">
        <v>733</v>
      </c>
      <c r="C305" s="581">
        <v>0</v>
      </c>
      <c r="D305" s="582" t="s">
        <v>100</v>
      </c>
    </row>
    <row r="306" spans="1:4" ht="15">
      <c r="A306" s="583" t="s">
        <v>791</v>
      </c>
      <c r="B306" s="584" t="s">
        <v>792</v>
      </c>
      <c r="C306" s="585">
        <v>8585.7999999999993</v>
      </c>
      <c r="D306" s="586" t="s">
        <v>100</v>
      </c>
    </row>
    <row r="307" spans="1:4" ht="15">
      <c r="A307" s="579" t="s">
        <v>793</v>
      </c>
      <c r="B307" s="580" t="s">
        <v>1587</v>
      </c>
      <c r="C307" s="581">
        <v>72954.94</v>
      </c>
      <c r="D307" s="582" t="s">
        <v>100</v>
      </c>
    </row>
    <row r="308" spans="1:4" ht="15">
      <c r="A308" s="583" t="s">
        <v>795</v>
      </c>
      <c r="B308" s="584" t="s">
        <v>796</v>
      </c>
      <c r="C308" s="585">
        <v>105549.25</v>
      </c>
      <c r="D308" s="586" t="s">
        <v>100</v>
      </c>
    </row>
    <row r="309" spans="1:4" ht="15">
      <c r="A309" s="579" t="s">
        <v>797</v>
      </c>
      <c r="B309" s="580" t="s">
        <v>1588</v>
      </c>
      <c r="C309" s="581">
        <v>0</v>
      </c>
      <c r="D309" s="582" t="s">
        <v>100</v>
      </c>
    </row>
    <row r="310" spans="1:4" ht="15">
      <c r="A310" s="583" t="s">
        <v>799</v>
      </c>
      <c r="B310" s="584" t="s">
        <v>798</v>
      </c>
      <c r="C310" s="585">
        <v>163120.22</v>
      </c>
      <c r="D310" s="586" t="s">
        <v>100</v>
      </c>
    </row>
    <row r="311" spans="1:4" ht="15">
      <c r="A311" s="579" t="s">
        <v>801</v>
      </c>
      <c r="B311" s="580" t="s">
        <v>802</v>
      </c>
      <c r="C311" s="581">
        <v>38999.629999999997</v>
      </c>
      <c r="D311" s="582" t="s">
        <v>100</v>
      </c>
    </row>
    <row r="312" spans="1:4" ht="15">
      <c r="A312" s="583" t="s">
        <v>803</v>
      </c>
      <c r="B312" s="584" t="s">
        <v>804</v>
      </c>
      <c r="C312" s="585">
        <v>477862.19</v>
      </c>
      <c r="D312" s="586" t="s">
        <v>100</v>
      </c>
    </row>
    <row r="313" spans="1:4" ht="15">
      <c r="A313" s="579" t="s">
        <v>1590</v>
      </c>
      <c r="B313" s="580" t="s">
        <v>1591</v>
      </c>
      <c r="C313" s="581">
        <v>37978.33</v>
      </c>
      <c r="D313" s="582" t="s">
        <v>100</v>
      </c>
    </row>
    <row r="314" spans="1:4" ht="15">
      <c r="A314" s="583" t="s">
        <v>805</v>
      </c>
      <c r="B314" s="584" t="s">
        <v>806</v>
      </c>
      <c r="C314" s="585">
        <v>905050.36</v>
      </c>
      <c r="D314" s="586" t="s">
        <v>807</v>
      </c>
    </row>
    <row r="315" spans="1:4" ht="15">
      <c r="A315" s="579" t="s">
        <v>808</v>
      </c>
      <c r="B315" s="580" t="s">
        <v>735</v>
      </c>
      <c r="C315" s="581">
        <v>0</v>
      </c>
      <c r="D315" s="582" t="s">
        <v>100</v>
      </c>
    </row>
    <row r="316" spans="1:4" ht="15">
      <c r="A316" s="583" t="s">
        <v>809</v>
      </c>
      <c r="B316" s="584" t="s">
        <v>735</v>
      </c>
      <c r="C316" s="585">
        <v>0</v>
      </c>
      <c r="D316" s="586" t="s">
        <v>100</v>
      </c>
    </row>
    <row r="317" spans="1:4" ht="15">
      <c r="A317" s="579" t="s">
        <v>810</v>
      </c>
      <c r="B317" s="580" t="s">
        <v>811</v>
      </c>
      <c r="C317" s="581">
        <v>0</v>
      </c>
      <c r="D317" s="582" t="s">
        <v>812</v>
      </c>
    </row>
    <row r="318" spans="1:4" ht="15">
      <c r="A318" s="583" t="s">
        <v>813</v>
      </c>
      <c r="B318" s="584" t="s">
        <v>814</v>
      </c>
      <c r="C318" s="585">
        <v>905050.36</v>
      </c>
      <c r="D318" s="586" t="s">
        <v>815</v>
      </c>
    </row>
    <row r="319" spans="1:4" ht="15">
      <c r="A319" s="579" t="s">
        <v>816</v>
      </c>
      <c r="B319" s="580" t="s">
        <v>817</v>
      </c>
      <c r="C319" s="581">
        <v>0</v>
      </c>
      <c r="D319" s="582" t="s">
        <v>100</v>
      </c>
    </row>
    <row r="320" spans="1:4" ht="15">
      <c r="A320" s="583" t="s">
        <v>818</v>
      </c>
      <c r="B320" s="584" t="s">
        <v>819</v>
      </c>
      <c r="C320" s="585">
        <v>0</v>
      </c>
      <c r="D320" s="586" t="s">
        <v>100</v>
      </c>
    </row>
    <row r="321" spans="1:4" ht="15">
      <c r="A321" s="579" t="s">
        <v>820</v>
      </c>
      <c r="B321" s="580" t="s">
        <v>821</v>
      </c>
      <c r="C321" s="581">
        <v>0</v>
      </c>
      <c r="D321" s="582" t="s">
        <v>822</v>
      </c>
    </row>
    <row r="322" spans="1:4" ht="15">
      <c r="A322" s="583" t="s">
        <v>823</v>
      </c>
      <c r="B322" s="584" t="s">
        <v>824</v>
      </c>
      <c r="C322" s="585">
        <v>0</v>
      </c>
      <c r="D322" s="586" t="s">
        <v>100</v>
      </c>
    </row>
    <row r="323" spans="1:4" ht="15">
      <c r="A323" s="579" t="s">
        <v>825</v>
      </c>
      <c r="B323" s="580" t="s">
        <v>826</v>
      </c>
      <c r="C323" s="581">
        <v>0</v>
      </c>
      <c r="D323" s="582" t="s">
        <v>100</v>
      </c>
    </row>
    <row r="324" spans="1:4" ht="15">
      <c r="A324" s="583" t="s">
        <v>827</v>
      </c>
      <c r="B324" s="584" t="s">
        <v>828</v>
      </c>
      <c r="C324" s="585">
        <v>0</v>
      </c>
      <c r="D324" s="586" t="s">
        <v>829</v>
      </c>
    </row>
    <row r="325" spans="1:4" ht="15">
      <c r="A325" s="579" t="s">
        <v>830</v>
      </c>
      <c r="B325" s="580" t="s">
        <v>831</v>
      </c>
      <c r="C325" s="581">
        <v>1718934.24</v>
      </c>
      <c r="D325" s="582" t="s">
        <v>832</v>
      </c>
    </row>
    <row r="326" spans="1:4" ht="15">
      <c r="A326" s="583" t="s">
        <v>833</v>
      </c>
      <c r="B326" s="584" t="s">
        <v>97</v>
      </c>
      <c r="C326" s="585">
        <v>0</v>
      </c>
      <c r="D326" s="586" t="s">
        <v>100</v>
      </c>
    </row>
    <row r="327" spans="1:4" ht="15">
      <c r="A327" s="579" t="s">
        <v>834</v>
      </c>
      <c r="B327" s="580" t="s">
        <v>835</v>
      </c>
      <c r="C327" s="581">
        <v>0</v>
      </c>
      <c r="D327" s="582" t="s">
        <v>100</v>
      </c>
    </row>
    <row r="328" spans="1:4" ht="15">
      <c r="A328" s="583" t="s">
        <v>836</v>
      </c>
      <c r="B328" s="584" t="s">
        <v>837</v>
      </c>
      <c r="C328" s="585">
        <v>13401.32</v>
      </c>
      <c r="D328" s="586" t="s">
        <v>100</v>
      </c>
    </row>
    <row r="329" spans="1:4" ht="15">
      <c r="A329" s="579" t="s">
        <v>838</v>
      </c>
      <c r="B329" s="580" t="s">
        <v>839</v>
      </c>
      <c r="C329" s="581">
        <v>13401.32</v>
      </c>
      <c r="D329" s="582" t="s">
        <v>840</v>
      </c>
    </row>
    <row r="330" spans="1:4" ht="15">
      <c r="A330" s="583" t="s">
        <v>841</v>
      </c>
      <c r="B330" s="584" t="s">
        <v>1152</v>
      </c>
      <c r="C330" s="585">
        <v>12278232.5</v>
      </c>
      <c r="D330" s="586" t="s">
        <v>843</v>
      </c>
    </row>
    <row r="331" spans="1:4" ht="15">
      <c r="A331" s="579" t="s">
        <v>844</v>
      </c>
      <c r="B331" s="580" t="s">
        <v>1594</v>
      </c>
      <c r="C331" s="581">
        <v>0</v>
      </c>
      <c r="D331" s="582" t="s">
        <v>100</v>
      </c>
    </row>
    <row r="332" spans="1:4" ht="15">
      <c r="A332" s="583" t="s">
        <v>846</v>
      </c>
      <c r="B332" s="584" t="s">
        <v>847</v>
      </c>
      <c r="C332" s="585">
        <v>2925</v>
      </c>
      <c r="D332" s="586" t="s">
        <v>100</v>
      </c>
    </row>
    <row r="333" spans="1:4" ht="15">
      <c r="A333" s="579" t="s">
        <v>848</v>
      </c>
      <c r="B333" s="580" t="s">
        <v>1533</v>
      </c>
      <c r="C333" s="581">
        <v>0</v>
      </c>
      <c r="D333" s="582" t="s">
        <v>100</v>
      </c>
    </row>
    <row r="334" spans="1:4" ht="15">
      <c r="A334" s="583" t="s">
        <v>850</v>
      </c>
      <c r="B334" s="584" t="s">
        <v>851</v>
      </c>
      <c r="C334" s="585">
        <v>2925</v>
      </c>
      <c r="D334" s="586" t="s">
        <v>852</v>
      </c>
    </row>
    <row r="335" spans="1:4" ht="15">
      <c r="A335" s="579" t="s">
        <v>853</v>
      </c>
      <c r="B335" s="580" t="s">
        <v>854</v>
      </c>
      <c r="C335" s="581">
        <v>0</v>
      </c>
      <c r="D335" s="582" t="s">
        <v>100</v>
      </c>
    </row>
    <row r="336" spans="1:4" ht="15">
      <c r="A336" s="583" t="s">
        <v>855</v>
      </c>
      <c r="B336" s="584" t="s">
        <v>1595</v>
      </c>
      <c r="C336" s="585">
        <v>0</v>
      </c>
      <c r="D336" s="586" t="s">
        <v>100</v>
      </c>
    </row>
    <row r="337" spans="1:4" ht="15">
      <c r="A337" s="579" t="s">
        <v>857</v>
      </c>
      <c r="B337" s="580" t="s">
        <v>858</v>
      </c>
      <c r="C337" s="581">
        <v>0</v>
      </c>
      <c r="D337" s="582" t="s">
        <v>100</v>
      </c>
    </row>
    <row r="338" spans="1:4" ht="15">
      <c r="A338" s="583" t="s">
        <v>859</v>
      </c>
      <c r="B338" s="584" t="s">
        <v>1596</v>
      </c>
      <c r="C338" s="585">
        <v>-22762.71</v>
      </c>
      <c r="D338" s="586" t="s">
        <v>100</v>
      </c>
    </row>
    <row r="339" spans="1:4" ht="15">
      <c r="A339" s="579" t="s">
        <v>861</v>
      </c>
      <c r="B339" s="580" t="s">
        <v>862</v>
      </c>
      <c r="C339" s="581">
        <v>-19837.71</v>
      </c>
      <c r="D339" s="582" t="s">
        <v>863</v>
      </c>
    </row>
    <row r="340" spans="1:4" ht="15">
      <c r="A340" s="583" t="s">
        <v>864</v>
      </c>
      <c r="B340" s="584" t="s">
        <v>1152</v>
      </c>
      <c r="C340" s="585">
        <v>12258394.789999999</v>
      </c>
      <c r="D340" s="586" t="s">
        <v>866</v>
      </c>
    </row>
    <row r="341" spans="1:4" ht="15">
      <c r="A341" s="579" t="s">
        <v>867</v>
      </c>
      <c r="B341" s="580" t="s">
        <v>868</v>
      </c>
      <c r="C341" s="581">
        <v>8396291.0999999996</v>
      </c>
      <c r="D341" s="582" t="s">
        <v>869</v>
      </c>
    </row>
    <row r="342" spans="1:4" ht="15">
      <c r="A342" s="583" t="s">
        <v>870</v>
      </c>
      <c r="B342" s="584" t="s">
        <v>871</v>
      </c>
      <c r="C342" s="585">
        <v>0</v>
      </c>
      <c r="D342" s="586" t="s">
        <v>100</v>
      </c>
    </row>
    <row r="343" spans="1:4" ht="15">
      <c r="A343" s="579" t="s">
        <v>873</v>
      </c>
      <c r="B343" s="580" t="s">
        <v>874</v>
      </c>
      <c r="C343" s="581">
        <v>0</v>
      </c>
      <c r="D343" s="582" t="s">
        <v>100</v>
      </c>
    </row>
    <row r="344" spans="1:4" ht="15">
      <c r="A344" s="583" t="s">
        <v>875</v>
      </c>
      <c r="B344" s="584" t="s">
        <v>876</v>
      </c>
      <c r="C344" s="585">
        <v>0</v>
      </c>
      <c r="D344" s="586" t="s">
        <v>100</v>
      </c>
    </row>
    <row r="345" spans="1:4" ht="15">
      <c r="A345" s="579" t="s">
        <v>877</v>
      </c>
      <c r="B345" s="580" t="s">
        <v>878</v>
      </c>
      <c r="C345" s="581">
        <v>28500000</v>
      </c>
      <c r="D345" s="582" t="s">
        <v>100</v>
      </c>
    </row>
    <row r="346" spans="1:4" ht="15">
      <c r="A346" s="583" t="s">
        <v>879</v>
      </c>
      <c r="B346" s="584" t="s">
        <v>880</v>
      </c>
      <c r="C346" s="585">
        <v>22281800</v>
      </c>
      <c r="D346" s="586" t="s">
        <v>100</v>
      </c>
    </row>
    <row r="347" spans="1:4" ht="15">
      <c r="A347" s="579" t="s">
        <v>881</v>
      </c>
      <c r="B347" s="580" t="s">
        <v>882</v>
      </c>
      <c r="C347" s="581">
        <v>3537200</v>
      </c>
      <c r="D347" s="582" t="s">
        <v>100</v>
      </c>
    </row>
    <row r="348" spans="1:4" ht="15">
      <c r="A348" s="583" t="s">
        <v>883</v>
      </c>
      <c r="B348" s="584" t="s">
        <v>884</v>
      </c>
      <c r="C348" s="585">
        <v>101601</v>
      </c>
      <c r="D348" s="586" t="s">
        <v>100</v>
      </c>
    </row>
    <row r="349" spans="1:4" ht="15">
      <c r="A349" s="579" t="s">
        <v>885</v>
      </c>
      <c r="B349" s="580" t="s">
        <v>886</v>
      </c>
      <c r="C349" s="581">
        <v>140400</v>
      </c>
      <c r="D349" s="582" t="s">
        <v>100</v>
      </c>
    </row>
    <row r="350" spans="1:4" ht="15">
      <c r="A350" s="583" t="s">
        <v>887</v>
      </c>
      <c r="B350" s="584" t="s">
        <v>888</v>
      </c>
      <c r="C350" s="585">
        <v>134200</v>
      </c>
      <c r="D350" s="586" t="s">
        <v>100</v>
      </c>
    </row>
    <row r="351" spans="1:4" ht="15">
      <c r="A351" s="579" t="s">
        <v>1597</v>
      </c>
      <c r="B351" s="580" t="s">
        <v>1582</v>
      </c>
      <c r="C351" s="581">
        <v>-227627.27</v>
      </c>
      <c r="D351" s="582" t="s">
        <v>100</v>
      </c>
    </row>
    <row r="352" spans="1:4" ht="15">
      <c r="A352" s="583" t="s">
        <v>1598</v>
      </c>
      <c r="B352" s="584" t="s">
        <v>1599</v>
      </c>
      <c r="C352" s="585">
        <v>2922494.73</v>
      </c>
      <c r="D352" s="586" t="s">
        <v>100</v>
      </c>
    </row>
    <row r="353" spans="1:4" ht="15">
      <c r="A353" s="579" t="s">
        <v>889</v>
      </c>
      <c r="B353" s="580" t="s">
        <v>890</v>
      </c>
      <c r="C353" s="581">
        <v>57390068.460000001</v>
      </c>
      <c r="D353" s="582" t="s">
        <v>891</v>
      </c>
    </row>
    <row r="354" spans="1:4" ht="15">
      <c r="A354" s="583" t="s">
        <v>892</v>
      </c>
      <c r="B354" s="584" t="s">
        <v>893</v>
      </c>
      <c r="C354" s="585">
        <v>0</v>
      </c>
      <c r="D354" s="586" t="s">
        <v>100</v>
      </c>
    </row>
    <row r="355" spans="1:4" ht="15">
      <c r="A355" s="579" t="s">
        <v>894</v>
      </c>
      <c r="B355" s="580" t="s">
        <v>895</v>
      </c>
      <c r="C355" s="581">
        <v>84000</v>
      </c>
      <c r="D355" s="582" t="s">
        <v>100</v>
      </c>
    </row>
    <row r="356" spans="1:4" ht="15">
      <c r="A356" s="583" t="s">
        <v>896</v>
      </c>
      <c r="B356" s="584" t="s">
        <v>897</v>
      </c>
      <c r="C356" s="585">
        <v>84000</v>
      </c>
      <c r="D356" s="586" t="s">
        <v>898</v>
      </c>
    </row>
    <row r="357" spans="1:4" ht="15">
      <c r="A357" s="579" t="s">
        <v>1600</v>
      </c>
      <c r="B357" s="580" t="s">
        <v>1601</v>
      </c>
      <c r="C357" s="581">
        <v>0</v>
      </c>
      <c r="D357" s="582" t="s">
        <v>100</v>
      </c>
    </row>
    <row r="358" spans="1:4" ht="15">
      <c r="A358" s="583" t="s">
        <v>1602</v>
      </c>
      <c r="B358" s="584" t="s">
        <v>1603</v>
      </c>
      <c r="C358" s="585">
        <v>523709.44</v>
      </c>
      <c r="D358" s="586" t="s">
        <v>100</v>
      </c>
    </row>
    <row r="359" spans="1:4" ht="15">
      <c r="A359" s="579" t="s">
        <v>1604</v>
      </c>
      <c r="B359" s="580" t="s">
        <v>1605</v>
      </c>
      <c r="C359" s="581">
        <v>523709.44</v>
      </c>
      <c r="D359" s="582" t="s">
        <v>1606</v>
      </c>
    </row>
    <row r="360" spans="1:4" ht="15">
      <c r="A360" s="583" t="s">
        <v>899</v>
      </c>
      <c r="B360" s="584" t="s">
        <v>900</v>
      </c>
      <c r="C360" s="585">
        <v>0</v>
      </c>
      <c r="D360" s="586" t="s">
        <v>100</v>
      </c>
    </row>
    <row r="361" spans="1:4" ht="15">
      <c r="A361" s="579" t="s">
        <v>901</v>
      </c>
      <c r="B361" s="580" t="s">
        <v>902</v>
      </c>
      <c r="C361" s="581">
        <v>3366400</v>
      </c>
      <c r="D361" s="582" t="s">
        <v>100</v>
      </c>
    </row>
    <row r="362" spans="1:4" ht="15">
      <c r="A362" s="583" t="s">
        <v>903</v>
      </c>
      <c r="B362" s="584" t="s">
        <v>904</v>
      </c>
      <c r="C362" s="585">
        <v>74687.5</v>
      </c>
      <c r="D362" s="586" t="s">
        <v>100</v>
      </c>
    </row>
    <row r="363" spans="1:4" ht="15">
      <c r="A363" s="579" t="s">
        <v>905</v>
      </c>
      <c r="B363" s="580" t="s">
        <v>906</v>
      </c>
      <c r="C363" s="581">
        <v>8250</v>
      </c>
      <c r="D363" s="582" t="s">
        <v>100</v>
      </c>
    </row>
    <row r="364" spans="1:4" ht="15">
      <c r="A364" s="583" t="s">
        <v>907</v>
      </c>
      <c r="B364" s="584" t="s">
        <v>908</v>
      </c>
      <c r="C364" s="585">
        <v>1339102.5</v>
      </c>
      <c r="D364" s="586" t="s">
        <v>100</v>
      </c>
    </row>
    <row r="365" spans="1:4" ht="15">
      <c r="A365" s="579" t="s">
        <v>909</v>
      </c>
      <c r="B365" s="580" t="s">
        <v>910</v>
      </c>
      <c r="C365" s="581">
        <v>-31248</v>
      </c>
      <c r="D365" s="582" t="s">
        <v>100</v>
      </c>
    </row>
    <row r="366" spans="1:4" ht="15">
      <c r="A366" s="583" t="s">
        <v>911</v>
      </c>
      <c r="B366" s="584" t="s">
        <v>912</v>
      </c>
      <c r="C366" s="585">
        <v>1500000</v>
      </c>
      <c r="D366" s="586" t="s">
        <v>100</v>
      </c>
    </row>
    <row r="367" spans="1:4" ht="15">
      <c r="A367" s="579" t="s">
        <v>913</v>
      </c>
      <c r="B367" s="580" t="s">
        <v>914</v>
      </c>
      <c r="C367" s="581">
        <v>6257192</v>
      </c>
      <c r="D367" s="582" t="s">
        <v>915</v>
      </c>
    </row>
    <row r="368" spans="1:4" ht="15">
      <c r="A368" s="583" t="s">
        <v>916</v>
      </c>
      <c r="B368" s="584" t="s">
        <v>917</v>
      </c>
      <c r="C368" s="585">
        <v>64254969.899999999</v>
      </c>
      <c r="D368" s="586" t="s">
        <v>918</v>
      </c>
    </row>
    <row r="369" spans="1:4" ht="15">
      <c r="A369" s="579" t="s">
        <v>919</v>
      </c>
      <c r="B369" s="580" t="s">
        <v>920</v>
      </c>
      <c r="C369" s="581">
        <v>0</v>
      </c>
      <c r="D369" s="582" t="s">
        <v>100</v>
      </c>
    </row>
    <row r="370" spans="1:4" ht="15">
      <c r="A370" s="583" t="s">
        <v>921</v>
      </c>
      <c r="B370" s="584" t="s">
        <v>922</v>
      </c>
      <c r="C370" s="585">
        <v>0</v>
      </c>
      <c r="D370" s="586" t="s">
        <v>100</v>
      </c>
    </row>
    <row r="371" spans="1:4" ht="15">
      <c r="A371" s="579" t="s">
        <v>923</v>
      </c>
      <c r="B371" s="580" t="s">
        <v>924</v>
      </c>
      <c r="C371" s="581">
        <v>36999.089999999997</v>
      </c>
      <c r="D371" s="582" t="s">
        <v>100</v>
      </c>
    </row>
    <row r="372" spans="1:4" ht="15">
      <c r="A372" s="583" t="s">
        <v>925</v>
      </c>
      <c r="B372" s="584" t="s">
        <v>926</v>
      </c>
      <c r="C372" s="585">
        <v>0</v>
      </c>
      <c r="D372" s="586" t="s">
        <v>100</v>
      </c>
    </row>
    <row r="373" spans="1:4" ht="15">
      <c r="A373" s="579" t="s">
        <v>927</v>
      </c>
      <c r="B373" s="580" t="s">
        <v>1607</v>
      </c>
      <c r="C373" s="581">
        <v>0</v>
      </c>
      <c r="D373" s="582" t="s">
        <v>100</v>
      </c>
    </row>
    <row r="374" spans="1:4" ht="15">
      <c r="A374" s="583" t="s">
        <v>929</v>
      </c>
      <c r="B374" s="584" t="s">
        <v>930</v>
      </c>
      <c r="C374" s="585">
        <v>0</v>
      </c>
      <c r="D374" s="586" t="s">
        <v>100</v>
      </c>
    </row>
    <row r="375" spans="1:4" ht="15">
      <c r="A375" s="579" t="s">
        <v>931</v>
      </c>
      <c r="B375" s="580" t="s">
        <v>932</v>
      </c>
      <c r="C375" s="581">
        <v>26965.55</v>
      </c>
      <c r="D375" s="582" t="s">
        <v>100</v>
      </c>
    </row>
    <row r="376" spans="1:4" ht="15">
      <c r="A376" s="583" t="s">
        <v>933</v>
      </c>
      <c r="B376" s="584" t="s">
        <v>934</v>
      </c>
      <c r="C376" s="585">
        <v>0</v>
      </c>
      <c r="D376" s="586" t="s">
        <v>100</v>
      </c>
    </row>
    <row r="377" spans="1:4" ht="15">
      <c r="A377" s="579" t="s">
        <v>935</v>
      </c>
      <c r="B377" s="580" t="s">
        <v>936</v>
      </c>
      <c r="C377" s="581">
        <v>85000</v>
      </c>
      <c r="D377" s="582" t="s">
        <v>100</v>
      </c>
    </row>
    <row r="378" spans="1:4" ht="15">
      <c r="A378" s="583" t="s">
        <v>937</v>
      </c>
      <c r="B378" s="584" t="s">
        <v>938</v>
      </c>
      <c r="C378" s="585">
        <v>148964.64000000001</v>
      </c>
      <c r="D378" s="586" t="s">
        <v>939</v>
      </c>
    </row>
    <row r="379" spans="1:4" ht="15">
      <c r="A379" s="579" t="s">
        <v>940</v>
      </c>
      <c r="B379" s="580" t="s">
        <v>941</v>
      </c>
      <c r="C379" s="581">
        <v>0</v>
      </c>
      <c r="D379" s="582" t="s">
        <v>100</v>
      </c>
    </row>
    <row r="380" spans="1:4" ht="15">
      <c r="A380" s="583" t="s">
        <v>942</v>
      </c>
      <c r="B380" s="584" t="s">
        <v>943</v>
      </c>
      <c r="C380" s="585">
        <v>23500</v>
      </c>
      <c r="D380" s="586" t="s">
        <v>100</v>
      </c>
    </row>
    <row r="381" spans="1:4" ht="15">
      <c r="A381" s="579" t="s">
        <v>944</v>
      </c>
      <c r="B381" s="580" t="s">
        <v>945</v>
      </c>
      <c r="C381" s="581">
        <v>5000</v>
      </c>
      <c r="D381" s="582" t="s">
        <v>100</v>
      </c>
    </row>
    <row r="382" spans="1:4" ht="15">
      <c r="A382" s="583" t="s">
        <v>946</v>
      </c>
      <c r="B382" s="584" t="s">
        <v>947</v>
      </c>
      <c r="C382" s="585">
        <v>0</v>
      </c>
      <c r="D382" s="586" t="s">
        <v>100</v>
      </c>
    </row>
    <row r="383" spans="1:4" ht="15">
      <c r="A383" s="579" t="s">
        <v>948</v>
      </c>
      <c r="B383" s="580" t="s">
        <v>949</v>
      </c>
      <c r="C383" s="581">
        <v>0</v>
      </c>
      <c r="D383" s="582" t="s">
        <v>100</v>
      </c>
    </row>
    <row r="384" spans="1:4" ht="15">
      <c r="A384" s="583" t="s">
        <v>950</v>
      </c>
      <c r="B384" s="584" t="s">
        <v>951</v>
      </c>
      <c r="C384" s="585">
        <v>0</v>
      </c>
      <c r="D384" s="586" t="s">
        <v>100</v>
      </c>
    </row>
    <row r="385" spans="1:4" ht="15">
      <c r="A385" s="579" t="s">
        <v>952</v>
      </c>
      <c r="B385" s="580" t="s">
        <v>953</v>
      </c>
      <c r="C385" s="581">
        <v>28500</v>
      </c>
      <c r="D385" s="582" t="s">
        <v>954</v>
      </c>
    </row>
    <row r="386" spans="1:4" ht="15">
      <c r="A386" s="583" t="s">
        <v>955</v>
      </c>
      <c r="B386" s="584" t="s">
        <v>956</v>
      </c>
      <c r="C386" s="585">
        <v>0</v>
      </c>
      <c r="D386" s="586" t="s">
        <v>100</v>
      </c>
    </row>
    <row r="387" spans="1:4" ht="15">
      <c r="A387" s="579" t="s">
        <v>957</v>
      </c>
      <c r="B387" s="580" t="s">
        <v>958</v>
      </c>
      <c r="C387" s="581">
        <v>7500</v>
      </c>
      <c r="D387" s="582" t="s">
        <v>100</v>
      </c>
    </row>
    <row r="388" spans="1:4" ht="15">
      <c r="A388" s="583" t="s">
        <v>959</v>
      </c>
      <c r="B388" s="584" t="s">
        <v>960</v>
      </c>
      <c r="C388" s="585">
        <v>478394</v>
      </c>
      <c r="D388" s="586" t="s">
        <v>100</v>
      </c>
    </row>
    <row r="389" spans="1:4" ht="15">
      <c r="A389" s="579" t="s">
        <v>961</v>
      </c>
      <c r="B389" s="580" t="s">
        <v>962</v>
      </c>
      <c r="C389" s="581">
        <v>52834</v>
      </c>
      <c r="D389" s="582" t="s">
        <v>100</v>
      </c>
    </row>
    <row r="390" spans="1:4" ht="15">
      <c r="A390" s="583" t="s">
        <v>963</v>
      </c>
      <c r="B390" s="584" t="s">
        <v>964</v>
      </c>
      <c r="C390" s="585">
        <v>0</v>
      </c>
      <c r="D390" s="586" t="s">
        <v>100</v>
      </c>
    </row>
    <row r="391" spans="1:4" ht="15">
      <c r="A391" s="579" t="s">
        <v>965</v>
      </c>
      <c r="B391" s="580" t="s">
        <v>966</v>
      </c>
      <c r="C391" s="581">
        <v>538728</v>
      </c>
      <c r="D391" s="582" t="s">
        <v>967</v>
      </c>
    </row>
    <row r="392" spans="1:4" ht="15">
      <c r="A392" s="583" t="s">
        <v>968</v>
      </c>
      <c r="B392" s="584" t="s">
        <v>938</v>
      </c>
      <c r="C392" s="585">
        <v>716192.64</v>
      </c>
      <c r="D392" s="586" t="s">
        <v>969</v>
      </c>
    </row>
    <row r="393" spans="1:4" ht="15">
      <c r="A393" s="579" t="s">
        <v>970</v>
      </c>
      <c r="B393" s="580" t="s">
        <v>971</v>
      </c>
      <c r="C393" s="581">
        <v>0</v>
      </c>
      <c r="D393" s="582" t="s">
        <v>100</v>
      </c>
    </row>
    <row r="394" spans="1:4" ht="15">
      <c r="A394" s="583" t="s">
        <v>972</v>
      </c>
      <c r="B394" s="584" t="s">
        <v>973</v>
      </c>
      <c r="C394" s="585">
        <v>3446321.52</v>
      </c>
      <c r="D394" s="586" t="s">
        <v>100</v>
      </c>
    </row>
    <row r="395" spans="1:4" ht="15">
      <c r="A395" s="579" t="s">
        <v>974</v>
      </c>
      <c r="B395" s="580" t="s">
        <v>975</v>
      </c>
      <c r="C395" s="581">
        <v>991.15</v>
      </c>
      <c r="D395" s="582" t="s">
        <v>100</v>
      </c>
    </row>
    <row r="396" spans="1:4" ht="15">
      <c r="A396" s="583" t="s">
        <v>976</v>
      </c>
      <c r="B396" s="584" t="s">
        <v>977</v>
      </c>
      <c r="C396" s="585">
        <v>7860.6</v>
      </c>
      <c r="D396" s="586" t="s">
        <v>100</v>
      </c>
    </row>
    <row r="397" spans="1:4" ht="15">
      <c r="A397" s="579" t="s">
        <v>978</v>
      </c>
      <c r="B397" s="580" t="s">
        <v>979</v>
      </c>
      <c r="C397" s="581">
        <v>0</v>
      </c>
      <c r="D397" s="582" t="s">
        <v>100</v>
      </c>
    </row>
    <row r="398" spans="1:4" ht="15">
      <c r="A398" s="583" t="s">
        <v>980</v>
      </c>
      <c r="B398" s="584" t="s">
        <v>981</v>
      </c>
      <c r="C398" s="585">
        <v>-38906.69</v>
      </c>
      <c r="D398" s="586" t="s">
        <v>100</v>
      </c>
    </row>
    <row r="399" spans="1:4" ht="15">
      <c r="A399" s="579" t="s">
        <v>982</v>
      </c>
      <c r="B399" s="580" t="s">
        <v>983</v>
      </c>
      <c r="C399" s="581">
        <v>50496</v>
      </c>
      <c r="D399" s="582" t="s">
        <v>100</v>
      </c>
    </row>
    <row r="400" spans="1:4" ht="15">
      <c r="A400" s="583" t="s">
        <v>984</v>
      </c>
      <c r="B400" s="584" t="s">
        <v>985</v>
      </c>
      <c r="C400" s="585">
        <v>0.46</v>
      </c>
      <c r="D400" s="586" t="s">
        <v>100</v>
      </c>
    </row>
    <row r="401" spans="1:4" ht="15">
      <c r="A401" s="579" t="s">
        <v>986</v>
      </c>
      <c r="B401" s="580" t="s">
        <v>987</v>
      </c>
      <c r="C401" s="581">
        <v>3706.5</v>
      </c>
      <c r="D401" s="582" t="s">
        <v>100</v>
      </c>
    </row>
    <row r="402" spans="1:4" ht="15">
      <c r="A402" s="583" t="s">
        <v>988</v>
      </c>
      <c r="B402" s="584" t="s">
        <v>989</v>
      </c>
      <c r="C402" s="585">
        <v>5980.7</v>
      </c>
      <c r="D402" s="586" t="s">
        <v>100</v>
      </c>
    </row>
    <row r="403" spans="1:4" ht="15">
      <c r="A403" s="579" t="s">
        <v>990</v>
      </c>
      <c r="B403" s="580" t="s">
        <v>991</v>
      </c>
      <c r="C403" s="581">
        <v>1758.55</v>
      </c>
      <c r="D403" s="582" t="s">
        <v>100</v>
      </c>
    </row>
    <row r="404" spans="1:4" ht="15">
      <c r="A404" s="583" t="s">
        <v>992</v>
      </c>
      <c r="B404" s="584" t="s">
        <v>993</v>
      </c>
      <c r="C404" s="585">
        <v>0</v>
      </c>
      <c r="D404" s="586" t="s">
        <v>100</v>
      </c>
    </row>
    <row r="405" spans="1:4" ht="15">
      <c r="A405" s="579" t="s">
        <v>994</v>
      </c>
      <c r="B405" s="580" t="s">
        <v>1610</v>
      </c>
      <c r="C405" s="581">
        <v>308.55</v>
      </c>
      <c r="D405" s="582" t="s">
        <v>100</v>
      </c>
    </row>
    <row r="406" spans="1:4" ht="15">
      <c r="A406" s="583" t="s">
        <v>996</v>
      </c>
      <c r="B406" s="584" t="s">
        <v>997</v>
      </c>
      <c r="C406" s="585">
        <v>1000</v>
      </c>
      <c r="D406" s="586" t="s">
        <v>100</v>
      </c>
    </row>
    <row r="407" spans="1:4" ht="15">
      <c r="A407" s="579" t="s">
        <v>998</v>
      </c>
      <c r="B407" s="580" t="s">
        <v>999</v>
      </c>
      <c r="C407" s="581">
        <v>1203.2</v>
      </c>
      <c r="D407" s="582" t="s">
        <v>100</v>
      </c>
    </row>
    <row r="408" spans="1:4" ht="15">
      <c r="A408" s="583" t="s">
        <v>1000</v>
      </c>
      <c r="B408" s="584" t="s">
        <v>1001</v>
      </c>
      <c r="C408" s="585">
        <v>0</v>
      </c>
      <c r="D408" s="586" t="s">
        <v>100</v>
      </c>
    </row>
    <row r="409" spans="1:4" ht="15">
      <c r="A409" s="579" t="s">
        <v>1002</v>
      </c>
      <c r="B409" s="580" t="s">
        <v>1003</v>
      </c>
      <c r="C409" s="581">
        <v>3480720.54</v>
      </c>
      <c r="D409" s="582" t="s">
        <v>1004</v>
      </c>
    </row>
    <row r="410" spans="1:4" ht="15">
      <c r="A410" s="583" t="s">
        <v>1005</v>
      </c>
      <c r="B410" s="584" t="s">
        <v>1006</v>
      </c>
      <c r="C410" s="585">
        <v>68451883.079999998</v>
      </c>
      <c r="D410" s="586" t="s">
        <v>1007</v>
      </c>
    </row>
    <row r="411" spans="1:4" ht="15">
      <c r="A411" s="579" t="s">
        <v>1008</v>
      </c>
      <c r="B411" s="580" t="s">
        <v>1009</v>
      </c>
      <c r="C411" s="581">
        <v>0</v>
      </c>
      <c r="D411" s="582" t="s">
        <v>100</v>
      </c>
    </row>
    <row r="412" spans="1:4" ht="15">
      <c r="A412" s="583" t="s">
        <v>1010</v>
      </c>
      <c r="B412" s="584" t="s">
        <v>1011</v>
      </c>
      <c r="C412" s="585">
        <v>0</v>
      </c>
      <c r="D412" s="586" t="s">
        <v>100</v>
      </c>
    </row>
    <row r="413" spans="1:4" ht="15">
      <c r="A413" s="579" t="s">
        <v>1012</v>
      </c>
      <c r="B413" s="580" t="s">
        <v>1013</v>
      </c>
      <c r="C413" s="581">
        <v>0</v>
      </c>
      <c r="D413" s="582" t="s">
        <v>100</v>
      </c>
    </row>
    <row r="414" spans="1:4" ht="15">
      <c r="A414" s="583" t="s">
        <v>1014</v>
      </c>
      <c r="B414" s="584" t="s">
        <v>1015</v>
      </c>
      <c r="C414" s="585">
        <v>-23383683.399999999</v>
      </c>
      <c r="D414" s="586" t="s">
        <v>100</v>
      </c>
    </row>
    <row r="415" spans="1:4" ht="15">
      <c r="A415" s="579" t="s">
        <v>1016</v>
      </c>
      <c r="B415" s="580" t="s">
        <v>106</v>
      </c>
      <c r="C415" s="581">
        <v>8396291.0999999996</v>
      </c>
      <c r="D415" s="582" t="s">
        <v>869</v>
      </c>
    </row>
    <row r="416" spans="1:4" ht="15">
      <c r="A416" s="583" t="s">
        <v>1017</v>
      </c>
      <c r="B416" s="584" t="s">
        <v>1018</v>
      </c>
      <c r="C416" s="585">
        <v>-3131550</v>
      </c>
      <c r="D416" s="586" t="s">
        <v>100</v>
      </c>
    </row>
    <row r="417" spans="1:4" ht="15">
      <c r="A417" s="579" t="s">
        <v>1019</v>
      </c>
      <c r="B417" s="580" t="s">
        <v>1020</v>
      </c>
      <c r="C417" s="581">
        <v>703434.84</v>
      </c>
      <c r="D417" s="582" t="s">
        <v>100</v>
      </c>
    </row>
    <row r="418" spans="1:4" ht="15">
      <c r="A418" s="583" t="s">
        <v>1021</v>
      </c>
      <c r="B418" s="584" t="s">
        <v>1022</v>
      </c>
      <c r="C418" s="585">
        <v>-20325146.149999999</v>
      </c>
      <c r="D418" s="586" t="s">
        <v>100</v>
      </c>
    </row>
    <row r="419" spans="1:4" ht="15">
      <c r="A419" s="579" t="s">
        <v>1023</v>
      </c>
      <c r="B419" s="580" t="s">
        <v>1024</v>
      </c>
      <c r="C419" s="581">
        <v>0</v>
      </c>
      <c r="D419" s="582" t="s">
        <v>100</v>
      </c>
    </row>
    <row r="420" spans="1:4" ht="15">
      <c r="A420" s="583" t="s">
        <v>1025</v>
      </c>
      <c r="B420" s="584" t="s">
        <v>1026</v>
      </c>
      <c r="C420" s="585">
        <v>-46136944.710000001</v>
      </c>
      <c r="D420" s="586" t="s">
        <v>1027</v>
      </c>
    </row>
    <row r="421" spans="1:4" ht="15">
      <c r="A421" s="579" t="s">
        <v>1028</v>
      </c>
      <c r="B421" s="580" t="s">
        <v>1029</v>
      </c>
      <c r="C421" s="581">
        <v>0</v>
      </c>
      <c r="D421" s="582" t="s">
        <v>100</v>
      </c>
    </row>
    <row r="422" spans="1:4" ht="15">
      <c r="A422" s="583" t="s">
        <v>1030</v>
      </c>
      <c r="B422" s="584" t="s">
        <v>1031</v>
      </c>
      <c r="C422" s="585">
        <v>-14521176.75</v>
      </c>
      <c r="D422" s="586" t="s">
        <v>100</v>
      </c>
    </row>
    <row r="423" spans="1:4" ht="15">
      <c r="A423" s="579" t="s">
        <v>1032</v>
      </c>
      <c r="B423" s="580" t="s">
        <v>1033</v>
      </c>
      <c r="C423" s="581">
        <v>-66840</v>
      </c>
      <c r="D423" s="582" t="s">
        <v>100</v>
      </c>
    </row>
    <row r="424" spans="1:4" ht="15">
      <c r="A424" s="583" t="s">
        <v>1034</v>
      </c>
      <c r="B424" s="584" t="s">
        <v>1035</v>
      </c>
      <c r="C424" s="585">
        <v>488492</v>
      </c>
      <c r="D424" s="586" t="s">
        <v>100</v>
      </c>
    </row>
    <row r="425" spans="1:4" ht="15">
      <c r="A425" s="579" t="s">
        <v>1036</v>
      </c>
      <c r="B425" s="580" t="s">
        <v>1037</v>
      </c>
      <c r="C425" s="581">
        <v>6746279</v>
      </c>
      <c r="D425" s="582" t="s">
        <v>100</v>
      </c>
    </row>
    <row r="426" spans="1:4" ht="15">
      <c r="A426" s="583" t="s">
        <v>1038</v>
      </c>
      <c r="B426" s="584" t="s">
        <v>440</v>
      </c>
      <c r="C426" s="585">
        <v>19625</v>
      </c>
      <c r="D426" s="586" t="s">
        <v>100</v>
      </c>
    </row>
    <row r="427" spans="1:4" ht="15">
      <c r="A427" s="579" t="s">
        <v>1614</v>
      </c>
      <c r="B427" s="580" t="s">
        <v>1615</v>
      </c>
      <c r="C427" s="581">
        <v>204864.71</v>
      </c>
      <c r="D427" s="582" t="s">
        <v>100</v>
      </c>
    </row>
    <row r="428" spans="1:4" ht="15">
      <c r="A428" s="583" t="s">
        <v>1039</v>
      </c>
      <c r="B428" s="584" t="s">
        <v>1040</v>
      </c>
      <c r="C428" s="585">
        <v>-7128756.04</v>
      </c>
      <c r="D428" s="586" t="s">
        <v>1041</v>
      </c>
    </row>
    <row r="429" spans="1:4" ht="15">
      <c r="A429" s="579" t="s">
        <v>1042</v>
      </c>
      <c r="B429" s="580" t="s">
        <v>1043</v>
      </c>
      <c r="C429" s="581">
        <v>0</v>
      </c>
      <c r="D429" s="582" t="s">
        <v>100</v>
      </c>
    </row>
    <row r="430" spans="1:4" ht="15">
      <c r="A430" s="583" t="s">
        <v>1044</v>
      </c>
      <c r="B430" s="584" t="s">
        <v>1045</v>
      </c>
      <c r="C430" s="585">
        <v>0</v>
      </c>
      <c r="D430" s="586" t="s">
        <v>100</v>
      </c>
    </row>
    <row r="431" spans="1:4" ht="15">
      <c r="A431" s="579" t="s">
        <v>1046</v>
      </c>
      <c r="B431" s="580" t="s">
        <v>1047</v>
      </c>
      <c r="C431" s="581">
        <v>0</v>
      </c>
      <c r="D431" s="582" t="s">
        <v>100</v>
      </c>
    </row>
    <row r="432" spans="1:4" ht="15">
      <c r="A432" s="583" t="s">
        <v>1048</v>
      </c>
      <c r="B432" s="584" t="s">
        <v>1049</v>
      </c>
      <c r="C432" s="585">
        <v>0</v>
      </c>
      <c r="D432" s="586" t="s">
        <v>100</v>
      </c>
    </row>
    <row r="433" spans="1:4" ht="15">
      <c r="A433" s="579" t="s">
        <v>1050</v>
      </c>
      <c r="B433" s="580" t="s">
        <v>1051</v>
      </c>
      <c r="C433" s="581">
        <v>0</v>
      </c>
      <c r="D433" s="582" t="s">
        <v>100</v>
      </c>
    </row>
    <row r="434" spans="1:4" ht="15">
      <c r="A434" s="583" t="s">
        <v>1052</v>
      </c>
      <c r="B434" s="584" t="s">
        <v>2028</v>
      </c>
      <c r="C434" s="585">
        <v>18195.349999999999</v>
      </c>
      <c r="D434" s="586" t="s">
        <v>100</v>
      </c>
    </row>
    <row r="435" spans="1:4" ht="15">
      <c r="A435" s="579" t="s">
        <v>1054</v>
      </c>
      <c r="B435" s="580" t="s">
        <v>103</v>
      </c>
      <c r="C435" s="581">
        <v>-4660252.49</v>
      </c>
      <c r="D435" s="582" t="s">
        <v>100</v>
      </c>
    </row>
    <row r="436" spans="1:4" ht="15">
      <c r="A436" s="583" t="s">
        <v>1056</v>
      </c>
      <c r="B436" s="584" t="s">
        <v>1057</v>
      </c>
      <c r="C436" s="585">
        <v>0</v>
      </c>
      <c r="D436" s="586" t="s">
        <v>100</v>
      </c>
    </row>
    <row r="437" spans="1:4" ht="15">
      <c r="A437" s="579" t="s">
        <v>1058</v>
      </c>
      <c r="B437" s="580" t="s">
        <v>1031</v>
      </c>
      <c r="C437" s="581">
        <v>-542200.19999999995</v>
      </c>
      <c r="D437" s="582" t="s">
        <v>100</v>
      </c>
    </row>
    <row r="438" spans="1:4" ht="15">
      <c r="A438" s="583" t="s">
        <v>1059</v>
      </c>
      <c r="B438" s="584" t="s">
        <v>1060</v>
      </c>
      <c r="C438" s="585">
        <v>0</v>
      </c>
      <c r="D438" s="586" t="s">
        <v>100</v>
      </c>
    </row>
    <row r="439" spans="1:4" ht="15">
      <c r="A439" s="579" t="s">
        <v>1061</v>
      </c>
      <c r="B439" s="580" t="s">
        <v>1062</v>
      </c>
      <c r="C439" s="581">
        <v>7898.56</v>
      </c>
      <c r="D439" s="582" t="s">
        <v>100</v>
      </c>
    </row>
    <row r="440" spans="1:4" ht="15">
      <c r="A440" s="583" t="s">
        <v>1063</v>
      </c>
      <c r="B440" s="584" t="s">
        <v>1064</v>
      </c>
      <c r="C440" s="585">
        <v>-534301.64</v>
      </c>
      <c r="D440" s="586" t="s">
        <v>1065</v>
      </c>
    </row>
    <row r="441" spans="1:4" ht="15">
      <c r="A441" s="579" t="s">
        <v>1066</v>
      </c>
      <c r="B441" s="580" t="s">
        <v>1067</v>
      </c>
      <c r="C441" s="581">
        <v>-5176358.78</v>
      </c>
      <c r="D441" s="582" t="s">
        <v>1068</v>
      </c>
    </row>
    <row r="442" spans="1:4" ht="15">
      <c r="A442" s="583" t="s">
        <v>1069</v>
      </c>
      <c r="B442" s="584" t="s">
        <v>1070</v>
      </c>
      <c r="C442" s="585">
        <v>-58442059.530000001</v>
      </c>
      <c r="D442" s="586" t="s">
        <v>1071</v>
      </c>
    </row>
    <row r="443" spans="1:4" ht="15">
      <c r="A443" s="579" t="s">
        <v>1072</v>
      </c>
      <c r="B443" s="580" t="s">
        <v>1073</v>
      </c>
      <c r="C443" s="581">
        <v>0</v>
      </c>
      <c r="D443" s="582" t="s">
        <v>100</v>
      </c>
    </row>
    <row r="444" spans="1:4" ht="15">
      <c r="A444" s="583" t="s">
        <v>1074</v>
      </c>
      <c r="B444" s="584" t="s">
        <v>1075</v>
      </c>
      <c r="C444" s="585">
        <v>0</v>
      </c>
      <c r="D444" s="586" t="s">
        <v>100</v>
      </c>
    </row>
    <row r="445" spans="1:4" ht="15">
      <c r="A445" s="579" t="s">
        <v>1076</v>
      </c>
      <c r="B445" s="580" t="s">
        <v>1077</v>
      </c>
      <c r="C445" s="581">
        <v>0</v>
      </c>
      <c r="D445" s="582" t="s">
        <v>100</v>
      </c>
    </row>
    <row r="446" spans="1:4" ht="15">
      <c r="A446" s="583" t="s">
        <v>1078</v>
      </c>
      <c r="B446" s="584" t="s">
        <v>1079</v>
      </c>
      <c r="C446" s="585">
        <v>-6860739.9699999997</v>
      </c>
      <c r="D446" s="586" t="s">
        <v>100</v>
      </c>
    </row>
    <row r="447" spans="1:4" ht="15">
      <c r="A447" s="579" t="s">
        <v>1080</v>
      </c>
      <c r="B447" s="580" t="s">
        <v>1081</v>
      </c>
      <c r="C447" s="581">
        <v>-6860739.9699999997</v>
      </c>
      <c r="D447" s="582" t="s">
        <v>1082</v>
      </c>
    </row>
    <row r="448" spans="1:4" ht="15">
      <c r="A448" s="583" t="s">
        <v>1083</v>
      </c>
      <c r="B448" s="584" t="s">
        <v>1084</v>
      </c>
      <c r="C448" s="585">
        <v>0</v>
      </c>
      <c r="D448" s="586" t="s">
        <v>100</v>
      </c>
    </row>
    <row r="449" spans="1:4" ht="15">
      <c r="A449" s="579" t="s">
        <v>1085</v>
      </c>
      <c r="B449" s="580" t="s">
        <v>1086</v>
      </c>
      <c r="C449" s="581">
        <v>0</v>
      </c>
      <c r="D449" s="582" t="s">
        <v>100</v>
      </c>
    </row>
    <row r="450" spans="1:4" ht="15">
      <c r="A450" s="583" t="s">
        <v>1087</v>
      </c>
      <c r="B450" s="584" t="s">
        <v>1088</v>
      </c>
      <c r="C450" s="585">
        <v>-582791.57999999996</v>
      </c>
      <c r="D450" s="586" t="s">
        <v>100</v>
      </c>
    </row>
    <row r="451" spans="1:4" ht="15">
      <c r="A451" s="579" t="s">
        <v>1089</v>
      </c>
      <c r="B451" s="580" t="s">
        <v>1090</v>
      </c>
      <c r="C451" s="581">
        <v>-582791.57999999996</v>
      </c>
      <c r="D451" s="582" t="s">
        <v>1091</v>
      </c>
    </row>
    <row r="452" spans="1:4" ht="15">
      <c r="A452" s="583" t="s">
        <v>1092</v>
      </c>
      <c r="B452" s="584" t="s">
        <v>1093</v>
      </c>
      <c r="C452" s="585">
        <v>0</v>
      </c>
      <c r="D452" s="586" t="s">
        <v>100</v>
      </c>
    </row>
    <row r="453" spans="1:4" ht="15">
      <c r="A453" s="579" t="s">
        <v>1094</v>
      </c>
      <c r="B453" s="580" t="s">
        <v>1095</v>
      </c>
      <c r="C453" s="581">
        <v>0</v>
      </c>
      <c r="D453" s="582" t="s">
        <v>100</v>
      </c>
    </row>
    <row r="454" spans="1:4" ht="15">
      <c r="A454" s="583" t="s">
        <v>1096</v>
      </c>
      <c r="B454" s="584" t="s">
        <v>1097</v>
      </c>
      <c r="C454" s="585">
        <v>0</v>
      </c>
      <c r="D454" s="586" t="s">
        <v>100</v>
      </c>
    </row>
    <row r="455" spans="1:4" ht="15">
      <c r="A455" s="579" t="s">
        <v>1098</v>
      </c>
      <c r="B455" s="580" t="s">
        <v>1099</v>
      </c>
      <c r="C455" s="581">
        <v>0</v>
      </c>
      <c r="D455" s="582" t="s">
        <v>100</v>
      </c>
    </row>
    <row r="456" spans="1:4" ht="15">
      <c r="A456" s="583" t="s">
        <v>1100</v>
      </c>
      <c r="B456" s="584" t="s">
        <v>1101</v>
      </c>
      <c r="C456" s="585">
        <v>0</v>
      </c>
      <c r="D456" s="586" t="s">
        <v>1102</v>
      </c>
    </row>
    <row r="457" spans="1:4" ht="15">
      <c r="A457" s="579" t="s">
        <v>1103</v>
      </c>
      <c r="B457" s="580" t="s">
        <v>1104</v>
      </c>
      <c r="C457" s="581">
        <v>0</v>
      </c>
      <c r="D457" s="582" t="s">
        <v>100</v>
      </c>
    </row>
    <row r="458" spans="1:4" ht="15">
      <c r="A458" s="583" t="s">
        <v>1105</v>
      </c>
      <c r="B458" s="584" t="s">
        <v>155</v>
      </c>
      <c r="C458" s="585">
        <v>0</v>
      </c>
      <c r="D458" s="586" t="s">
        <v>100</v>
      </c>
    </row>
    <row r="459" spans="1:4" ht="15">
      <c r="A459" s="579" t="s">
        <v>1106</v>
      </c>
      <c r="B459" s="580" t="s">
        <v>1107</v>
      </c>
      <c r="C459" s="581">
        <v>-222282.37</v>
      </c>
      <c r="D459" s="582" t="s">
        <v>100</v>
      </c>
    </row>
    <row r="460" spans="1:4" ht="15">
      <c r="A460" s="583" t="s">
        <v>1108</v>
      </c>
      <c r="B460" s="584" t="s">
        <v>440</v>
      </c>
      <c r="C460" s="585">
        <v>0</v>
      </c>
      <c r="D460" s="586" t="s">
        <v>100</v>
      </c>
    </row>
    <row r="461" spans="1:4" ht="15">
      <c r="A461" s="579" t="s">
        <v>1109</v>
      </c>
      <c r="B461" s="580" t="s">
        <v>1110</v>
      </c>
      <c r="C461" s="581">
        <v>0</v>
      </c>
      <c r="D461" s="582" t="s">
        <v>100</v>
      </c>
    </row>
    <row r="462" spans="1:4" ht="15">
      <c r="A462" s="583" t="s">
        <v>1111</v>
      </c>
      <c r="B462" s="584" t="s">
        <v>481</v>
      </c>
      <c r="C462" s="585">
        <v>137615</v>
      </c>
      <c r="D462" s="586" t="s">
        <v>100</v>
      </c>
    </row>
    <row r="463" spans="1:4" ht="15">
      <c r="A463" s="579" t="s">
        <v>1112</v>
      </c>
      <c r="B463" s="580" t="s">
        <v>278</v>
      </c>
      <c r="C463" s="581">
        <v>-84667.37</v>
      </c>
      <c r="D463" s="582" t="s">
        <v>1113</v>
      </c>
    </row>
    <row r="464" spans="1:4" ht="15">
      <c r="A464" s="583" t="s">
        <v>1114</v>
      </c>
      <c r="B464" s="584" t="s">
        <v>1115</v>
      </c>
      <c r="C464" s="585">
        <v>0</v>
      </c>
      <c r="D464" s="586" t="s">
        <v>100</v>
      </c>
    </row>
    <row r="465" spans="1:4" ht="15">
      <c r="A465" s="579" t="s">
        <v>1116</v>
      </c>
      <c r="B465" s="580" t="s">
        <v>220</v>
      </c>
      <c r="C465" s="581">
        <v>0</v>
      </c>
      <c r="D465" s="582" t="s">
        <v>100</v>
      </c>
    </row>
    <row r="466" spans="1:4" ht="15">
      <c r="A466" s="583" t="s">
        <v>1117</v>
      </c>
      <c r="B466" s="584" t="s">
        <v>1118</v>
      </c>
      <c r="C466" s="585">
        <v>0</v>
      </c>
      <c r="D466" s="586" t="s">
        <v>100</v>
      </c>
    </row>
    <row r="467" spans="1:4" ht="15">
      <c r="A467" s="579" t="s">
        <v>1119</v>
      </c>
      <c r="B467" s="580" t="s">
        <v>1120</v>
      </c>
      <c r="C467" s="581">
        <v>0</v>
      </c>
      <c r="D467" s="582" t="s">
        <v>100</v>
      </c>
    </row>
    <row r="468" spans="1:4" ht="15">
      <c r="A468" s="583" t="s">
        <v>1121</v>
      </c>
      <c r="B468" s="584" t="s">
        <v>1122</v>
      </c>
      <c r="C468" s="585">
        <v>0</v>
      </c>
      <c r="D468" s="586" t="s">
        <v>100</v>
      </c>
    </row>
    <row r="469" spans="1:4" ht="15">
      <c r="A469" s="579" t="s">
        <v>1123</v>
      </c>
      <c r="B469" s="580" t="s">
        <v>1124</v>
      </c>
      <c r="C469" s="581">
        <v>0</v>
      </c>
      <c r="D469" s="582" t="s">
        <v>100</v>
      </c>
    </row>
    <row r="470" spans="1:4" ht="15">
      <c r="A470" s="583" t="s">
        <v>1125</v>
      </c>
      <c r="B470" s="584" t="s">
        <v>1126</v>
      </c>
      <c r="C470" s="585">
        <v>0</v>
      </c>
      <c r="D470" s="586" t="s">
        <v>100</v>
      </c>
    </row>
    <row r="471" spans="1:4" ht="15">
      <c r="A471" s="579" t="s">
        <v>1127</v>
      </c>
      <c r="B471" s="580" t="s">
        <v>1128</v>
      </c>
      <c r="C471" s="581">
        <v>0</v>
      </c>
      <c r="D471" s="582" t="s">
        <v>100</v>
      </c>
    </row>
    <row r="472" spans="1:4" ht="15">
      <c r="A472" s="583" t="s">
        <v>1129</v>
      </c>
      <c r="B472" s="584" t="s">
        <v>1130</v>
      </c>
      <c r="C472" s="585">
        <v>0</v>
      </c>
      <c r="D472" s="586" t="s">
        <v>100</v>
      </c>
    </row>
    <row r="473" spans="1:4" ht="15">
      <c r="A473" s="579" t="s">
        <v>1131</v>
      </c>
      <c r="B473" s="580" t="s">
        <v>1132</v>
      </c>
      <c r="C473" s="581">
        <v>0</v>
      </c>
      <c r="D473" s="582" t="s">
        <v>100</v>
      </c>
    </row>
    <row r="474" spans="1:4" ht="15">
      <c r="A474" s="583" t="s">
        <v>1133</v>
      </c>
      <c r="B474" s="584" t="s">
        <v>1134</v>
      </c>
      <c r="C474" s="585">
        <v>0</v>
      </c>
      <c r="D474" s="586" t="s">
        <v>100</v>
      </c>
    </row>
    <row r="475" spans="1:4" ht="15">
      <c r="A475" s="579" t="s">
        <v>1135</v>
      </c>
      <c r="B475" s="580" t="s">
        <v>1136</v>
      </c>
      <c r="C475" s="581">
        <v>0</v>
      </c>
      <c r="D475" s="582" t="s">
        <v>100</v>
      </c>
    </row>
    <row r="476" spans="1:4" ht="15">
      <c r="A476" s="583" t="s">
        <v>1137</v>
      </c>
      <c r="B476" s="584" t="s">
        <v>1138</v>
      </c>
      <c r="C476" s="585">
        <v>0</v>
      </c>
      <c r="D476" s="586" t="s">
        <v>100</v>
      </c>
    </row>
    <row r="477" spans="1:4" ht="15">
      <c r="A477" s="579" t="s">
        <v>1139</v>
      </c>
      <c r="B477" s="580" t="s">
        <v>1140</v>
      </c>
      <c r="C477" s="581">
        <v>0</v>
      </c>
      <c r="D477" s="582" t="s">
        <v>100</v>
      </c>
    </row>
    <row r="478" spans="1:4" ht="15">
      <c r="A478" s="583" t="s">
        <v>1141</v>
      </c>
      <c r="B478" s="584" t="s">
        <v>1142</v>
      </c>
      <c r="C478" s="585">
        <v>0</v>
      </c>
      <c r="D478" s="586" t="s">
        <v>100</v>
      </c>
    </row>
    <row r="479" spans="1:4" ht="15">
      <c r="A479" s="579" t="s">
        <v>1143</v>
      </c>
      <c r="B479" s="580" t="s">
        <v>1144</v>
      </c>
      <c r="C479" s="581">
        <v>0</v>
      </c>
      <c r="D479" s="582" t="s">
        <v>100</v>
      </c>
    </row>
    <row r="480" spans="1:4" ht="15">
      <c r="A480" s="583" t="s">
        <v>1145</v>
      </c>
      <c r="B480" s="584" t="s">
        <v>1146</v>
      </c>
      <c r="C480" s="585">
        <v>0</v>
      </c>
      <c r="D480" s="586" t="s">
        <v>100</v>
      </c>
    </row>
    <row r="481" spans="1:4" ht="15">
      <c r="A481" s="579" t="s">
        <v>1147</v>
      </c>
      <c r="B481" s="580" t="s">
        <v>1148</v>
      </c>
      <c r="C481" s="581">
        <v>0</v>
      </c>
      <c r="D481" s="582" t="s">
        <v>100</v>
      </c>
    </row>
    <row r="482" spans="1:4" ht="15">
      <c r="A482" s="583" t="s">
        <v>1149</v>
      </c>
      <c r="B482" s="584" t="s">
        <v>1150</v>
      </c>
      <c r="C482" s="585">
        <v>0</v>
      </c>
      <c r="D482" s="586" t="s">
        <v>100</v>
      </c>
    </row>
    <row r="483" spans="1:4" ht="15">
      <c r="A483" s="579" t="s">
        <v>1151</v>
      </c>
      <c r="B483" s="580" t="s">
        <v>1152</v>
      </c>
      <c r="C483" s="581">
        <v>0</v>
      </c>
      <c r="D483" s="582" t="s">
        <v>1153</v>
      </c>
    </row>
    <row r="484" spans="1:4" ht="15">
      <c r="A484" s="583" t="s">
        <v>1154</v>
      </c>
      <c r="B484" s="584" t="s">
        <v>1155</v>
      </c>
      <c r="C484" s="585">
        <v>-84667.37</v>
      </c>
      <c r="D484" s="586" t="s">
        <v>1156</v>
      </c>
    </row>
    <row r="485" spans="1:4" ht="15">
      <c r="A485" s="579" t="s">
        <v>1157</v>
      </c>
      <c r="B485" s="580" t="s">
        <v>1158</v>
      </c>
      <c r="C485" s="581">
        <v>-84667.37</v>
      </c>
      <c r="D485" s="582" t="s">
        <v>1159</v>
      </c>
    </row>
    <row r="486" spans="1:4" ht="15">
      <c r="A486" s="583" t="s">
        <v>1160</v>
      </c>
      <c r="B486" s="584" t="s">
        <v>1161</v>
      </c>
      <c r="C486" s="585">
        <v>0</v>
      </c>
      <c r="D486" s="586" t="s">
        <v>100</v>
      </c>
    </row>
    <row r="487" spans="1:4" ht="15">
      <c r="A487" s="579" t="s">
        <v>1162</v>
      </c>
      <c r="B487" s="580" t="s">
        <v>1163</v>
      </c>
      <c r="C487" s="581">
        <v>0</v>
      </c>
      <c r="D487" s="582" t="s">
        <v>100</v>
      </c>
    </row>
    <row r="488" spans="1:4" ht="15">
      <c r="A488" s="583" t="s">
        <v>1164</v>
      </c>
      <c r="B488" s="584" t="s">
        <v>1165</v>
      </c>
      <c r="C488" s="585">
        <v>-510</v>
      </c>
      <c r="D488" s="586" t="s">
        <v>100</v>
      </c>
    </row>
    <row r="489" spans="1:4" ht="15">
      <c r="A489" s="579" t="s">
        <v>1166</v>
      </c>
      <c r="B489" s="580" t="s">
        <v>1167</v>
      </c>
      <c r="C489" s="581">
        <v>0</v>
      </c>
      <c r="D489" s="582" t="s">
        <v>100</v>
      </c>
    </row>
    <row r="490" spans="1:4" ht="15">
      <c r="A490" s="583" t="s">
        <v>1168</v>
      </c>
      <c r="B490" s="584" t="s">
        <v>1169</v>
      </c>
      <c r="C490" s="585">
        <v>-2490</v>
      </c>
      <c r="D490" s="586" t="s">
        <v>100</v>
      </c>
    </row>
    <row r="491" spans="1:4" ht="15">
      <c r="A491" s="579" t="s">
        <v>1170</v>
      </c>
      <c r="B491" s="580" t="s">
        <v>1171</v>
      </c>
      <c r="C491" s="581">
        <v>0</v>
      </c>
      <c r="D491" s="582" t="s">
        <v>100</v>
      </c>
    </row>
    <row r="492" spans="1:4" ht="15">
      <c r="A492" s="583" t="s">
        <v>1172</v>
      </c>
      <c r="B492" s="584" t="s">
        <v>1173</v>
      </c>
      <c r="C492" s="585">
        <v>-430</v>
      </c>
      <c r="D492" s="586" t="s">
        <v>100</v>
      </c>
    </row>
    <row r="493" spans="1:4" ht="15">
      <c r="A493" s="579" t="s">
        <v>1174</v>
      </c>
      <c r="B493" s="580" t="s">
        <v>1175</v>
      </c>
      <c r="C493" s="581">
        <v>0</v>
      </c>
      <c r="D493" s="582" t="s">
        <v>100</v>
      </c>
    </row>
    <row r="494" spans="1:4" ht="15">
      <c r="A494" s="583" t="s">
        <v>1176</v>
      </c>
      <c r="B494" s="584" t="s">
        <v>1177</v>
      </c>
      <c r="C494" s="585">
        <v>-5110</v>
      </c>
      <c r="D494" s="586" t="s">
        <v>100</v>
      </c>
    </row>
    <row r="495" spans="1:4" ht="15">
      <c r="A495" s="579" t="s">
        <v>1178</v>
      </c>
      <c r="B495" s="580" t="s">
        <v>1179</v>
      </c>
      <c r="C495" s="581">
        <v>0</v>
      </c>
      <c r="D495" s="582" t="s">
        <v>100</v>
      </c>
    </row>
    <row r="496" spans="1:4" ht="15">
      <c r="A496" s="583" t="s">
        <v>1180</v>
      </c>
      <c r="B496" s="584" t="s">
        <v>1181</v>
      </c>
      <c r="C496" s="585">
        <v>32070</v>
      </c>
      <c r="D496" s="586" t="s">
        <v>100</v>
      </c>
    </row>
    <row r="497" spans="1:4" ht="15">
      <c r="A497" s="579" t="s">
        <v>1182</v>
      </c>
      <c r="B497" s="580" t="s">
        <v>1183</v>
      </c>
      <c r="C497" s="581">
        <v>-105930.72</v>
      </c>
      <c r="D497" s="582" t="s">
        <v>100</v>
      </c>
    </row>
    <row r="498" spans="1:4" ht="15">
      <c r="A498" s="583" t="s">
        <v>1184</v>
      </c>
      <c r="B498" s="584" t="s">
        <v>1185</v>
      </c>
      <c r="C498" s="585">
        <v>-23204.44</v>
      </c>
      <c r="D498" s="586" t="s">
        <v>100</v>
      </c>
    </row>
    <row r="499" spans="1:4" ht="15">
      <c r="A499" s="579" t="s">
        <v>1186</v>
      </c>
      <c r="B499" s="580" t="s">
        <v>1618</v>
      </c>
      <c r="C499" s="581">
        <v>6632.4</v>
      </c>
      <c r="D499" s="582" t="s">
        <v>100</v>
      </c>
    </row>
    <row r="500" spans="1:4" ht="15">
      <c r="A500" s="583" t="s">
        <v>1188</v>
      </c>
      <c r="B500" s="584" t="s">
        <v>1189</v>
      </c>
      <c r="C500" s="585">
        <v>0</v>
      </c>
      <c r="D500" s="586" t="s">
        <v>100</v>
      </c>
    </row>
    <row r="501" spans="1:4" ht="15">
      <c r="A501" s="579" t="s">
        <v>1190</v>
      </c>
      <c r="B501" s="580" t="s">
        <v>1191</v>
      </c>
      <c r="C501" s="581">
        <v>0</v>
      </c>
      <c r="D501" s="582" t="s">
        <v>100</v>
      </c>
    </row>
    <row r="502" spans="1:4" ht="15">
      <c r="A502" s="583" t="s">
        <v>1192</v>
      </c>
      <c r="B502" s="584" t="s">
        <v>1193</v>
      </c>
      <c r="C502" s="585">
        <v>0</v>
      </c>
      <c r="D502" s="586" t="s">
        <v>100</v>
      </c>
    </row>
    <row r="503" spans="1:4" ht="15">
      <c r="A503" s="579" t="s">
        <v>1194</v>
      </c>
      <c r="B503" s="580" t="s">
        <v>1195</v>
      </c>
      <c r="C503" s="581">
        <v>-1127.18</v>
      </c>
      <c r="D503" s="582" t="s">
        <v>100</v>
      </c>
    </row>
    <row r="504" spans="1:4" ht="15">
      <c r="A504" s="583" t="s">
        <v>1196</v>
      </c>
      <c r="B504" s="584" t="s">
        <v>1197</v>
      </c>
      <c r="C504" s="585">
        <v>0</v>
      </c>
      <c r="D504" s="586" t="s">
        <v>100</v>
      </c>
    </row>
    <row r="505" spans="1:4" ht="15">
      <c r="A505" s="579" t="s">
        <v>1198</v>
      </c>
      <c r="B505" s="580" t="s">
        <v>1199</v>
      </c>
      <c r="C505" s="581">
        <v>-78145.119999999995</v>
      </c>
      <c r="D505" s="582" t="s">
        <v>100</v>
      </c>
    </row>
    <row r="506" spans="1:4" ht="15">
      <c r="A506" s="583" t="s">
        <v>1200</v>
      </c>
      <c r="B506" s="584" t="s">
        <v>1201</v>
      </c>
      <c r="C506" s="585">
        <v>-178245.06</v>
      </c>
      <c r="D506" s="586" t="s">
        <v>1202</v>
      </c>
    </row>
    <row r="507" spans="1:4" ht="15">
      <c r="A507" s="579" t="s">
        <v>1203</v>
      </c>
      <c r="B507" s="580" t="s">
        <v>1204</v>
      </c>
      <c r="C507" s="581">
        <v>0</v>
      </c>
      <c r="D507" s="582" t="s">
        <v>100</v>
      </c>
    </row>
    <row r="508" spans="1:4" ht="15">
      <c r="A508" s="583" t="s">
        <v>1205</v>
      </c>
      <c r="B508" s="584" t="s">
        <v>1206</v>
      </c>
      <c r="C508" s="585">
        <v>-5218864.53</v>
      </c>
      <c r="D508" s="586" t="s">
        <v>100</v>
      </c>
    </row>
    <row r="509" spans="1:4" ht="15">
      <c r="A509" s="579" t="s">
        <v>1207</v>
      </c>
      <c r="B509" s="580" t="s">
        <v>1208</v>
      </c>
      <c r="C509" s="581">
        <v>-5218864.53</v>
      </c>
      <c r="D509" s="582" t="s">
        <v>1209</v>
      </c>
    </row>
    <row r="510" spans="1:4" ht="15">
      <c r="A510" s="583" t="s">
        <v>1210</v>
      </c>
      <c r="B510" s="584" t="s">
        <v>1211</v>
      </c>
      <c r="C510" s="585">
        <v>0</v>
      </c>
      <c r="D510" s="586" t="s">
        <v>100</v>
      </c>
    </row>
    <row r="511" spans="1:4" ht="15">
      <c r="A511" s="579" t="s">
        <v>1212</v>
      </c>
      <c r="B511" s="580" t="s">
        <v>1622</v>
      </c>
      <c r="C511" s="581">
        <v>-278704</v>
      </c>
      <c r="D511" s="582" t="s">
        <v>100</v>
      </c>
    </row>
    <row r="512" spans="1:4" ht="15">
      <c r="A512" s="583" t="s">
        <v>1214</v>
      </c>
      <c r="B512" s="584" t="s">
        <v>1623</v>
      </c>
      <c r="C512" s="585">
        <v>-82115</v>
      </c>
      <c r="D512" s="586" t="s">
        <v>100</v>
      </c>
    </row>
    <row r="513" spans="1:4" ht="15">
      <c r="A513" s="579" t="s">
        <v>1216</v>
      </c>
      <c r="B513" s="580" t="s">
        <v>1217</v>
      </c>
      <c r="C513" s="581">
        <v>57305.279999999999</v>
      </c>
      <c r="D513" s="582" t="s">
        <v>100</v>
      </c>
    </row>
    <row r="514" spans="1:4" ht="15">
      <c r="A514" s="583" t="s">
        <v>1218</v>
      </c>
      <c r="B514" s="584" t="s">
        <v>1219</v>
      </c>
      <c r="C514" s="585">
        <v>-36447.99</v>
      </c>
      <c r="D514" s="586" t="s">
        <v>100</v>
      </c>
    </row>
    <row r="515" spans="1:4" ht="15">
      <c r="A515" s="579" t="s">
        <v>1220</v>
      </c>
      <c r="B515" s="580" t="s">
        <v>1221</v>
      </c>
      <c r="C515" s="581">
        <v>-1540.03</v>
      </c>
      <c r="D515" s="582" t="s">
        <v>100</v>
      </c>
    </row>
    <row r="516" spans="1:4" ht="15">
      <c r="A516" s="583" t="s">
        <v>1222</v>
      </c>
      <c r="B516" s="584" t="s">
        <v>1223</v>
      </c>
      <c r="C516" s="585">
        <v>0</v>
      </c>
      <c r="D516" s="586" t="s">
        <v>100</v>
      </c>
    </row>
    <row r="517" spans="1:4" ht="15">
      <c r="A517" s="579" t="s">
        <v>1224</v>
      </c>
      <c r="B517" s="580" t="s">
        <v>1624</v>
      </c>
      <c r="C517" s="581">
        <v>0</v>
      </c>
      <c r="D517" s="582" t="s">
        <v>100</v>
      </c>
    </row>
    <row r="518" spans="1:4" ht="15">
      <c r="A518" s="583" t="s">
        <v>1226</v>
      </c>
      <c r="B518" s="584" t="s">
        <v>1225</v>
      </c>
      <c r="C518" s="585">
        <v>-6000</v>
      </c>
      <c r="D518" s="586" t="s">
        <v>100</v>
      </c>
    </row>
    <row r="519" spans="1:4" ht="15">
      <c r="A519" s="579" t="s">
        <v>1228</v>
      </c>
      <c r="B519" s="580" t="s">
        <v>1229</v>
      </c>
      <c r="C519" s="581">
        <v>-347501.74</v>
      </c>
      <c r="D519" s="582" t="s">
        <v>1230</v>
      </c>
    </row>
    <row r="520" spans="1:4" ht="15">
      <c r="A520" s="583" t="s">
        <v>1231</v>
      </c>
      <c r="B520" s="584" t="s">
        <v>1232</v>
      </c>
      <c r="C520" s="585">
        <v>0</v>
      </c>
      <c r="D520" s="586" t="s">
        <v>100</v>
      </c>
    </row>
    <row r="521" spans="1:4" ht="15">
      <c r="A521" s="579" t="s">
        <v>1233</v>
      </c>
      <c r="B521" s="580" t="s">
        <v>1234</v>
      </c>
      <c r="C521" s="581">
        <v>-3223.65</v>
      </c>
      <c r="D521" s="582" t="s">
        <v>100</v>
      </c>
    </row>
    <row r="522" spans="1:4" ht="15">
      <c r="A522" s="583" t="s">
        <v>1235</v>
      </c>
      <c r="B522" s="584" t="s">
        <v>1236</v>
      </c>
      <c r="C522" s="585">
        <v>0</v>
      </c>
      <c r="D522" s="586" t="s">
        <v>100</v>
      </c>
    </row>
    <row r="523" spans="1:4" ht="15">
      <c r="A523" s="579" t="s">
        <v>1237</v>
      </c>
      <c r="B523" s="580" t="s">
        <v>1238</v>
      </c>
      <c r="C523" s="581">
        <v>0</v>
      </c>
      <c r="D523" s="582" t="s">
        <v>100</v>
      </c>
    </row>
    <row r="524" spans="1:4" ht="15">
      <c r="A524" s="583" t="s">
        <v>1239</v>
      </c>
      <c r="B524" s="584" t="s">
        <v>1240</v>
      </c>
      <c r="C524" s="585">
        <v>0</v>
      </c>
      <c r="D524" s="586" t="s">
        <v>100</v>
      </c>
    </row>
    <row r="525" spans="1:4" ht="15">
      <c r="A525" s="579" t="s">
        <v>1241</v>
      </c>
      <c r="B525" s="580" t="s">
        <v>1242</v>
      </c>
      <c r="C525" s="581">
        <v>0</v>
      </c>
      <c r="D525" s="582" t="s">
        <v>100</v>
      </c>
    </row>
    <row r="526" spans="1:4" ht="15">
      <c r="A526" s="583" t="s">
        <v>1243</v>
      </c>
      <c r="B526" s="584" t="s">
        <v>1244</v>
      </c>
      <c r="C526" s="585">
        <v>0</v>
      </c>
      <c r="D526" s="586" t="s">
        <v>100</v>
      </c>
    </row>
    <row r="527" spans="1:4" ht="15">
      <c r="A527" s="579" t="s">
        <v>1245</v>
      </c>
      <c r="B527" s="580" t="s">
        <v>1246</v>
      </c>
      <c r="C527" s="581">
        <v>-30000</v>
      </c>
      <c r="D527" s="582" t="s">
        <v>100</v>
      </c>
    </row>
    <row r="528" spans="1:4" ht="15">
      <c r="A528" s="583" t="s">
        <v>1247</v>
      </c>
      <c r="B528" s="584" t="s">
        <v>1248</v>
      </c>
      <c r="C528" s="585">
        <v>0</v>
      </c>
      <c r="D528" s="586" t="s">
        <v>100</v>
      </c>
    </row>
    <row r="529" spans="1:4" ht="15">
      <c r="A529" s="579" t="s">
        <v>1249</v>
      </c>
      <c r="B529" s="580" t="s">
        <v>1250</v>
      </c>
      <c r="C529" s="581">
        <v>-33223.65</v>
      </c>
      <c r="D529" s="582" t="s">
        <v>1251</v>
      </c>
    </row>
    <row r="530" spans="1:4" ht="15">
      <c r="A530" s="583" t="s">
        <v>1252</v>
      </c>
      <c r="B530" s="584" t="s">
        <v>1253</v>
      </c>
      <c r="C530" s="585">
        <v>0</v>
      </c>
      <c r="D530" s="586" t="s">
        <v>100</v>
      </c>
    </row>
    <row r="531" spans="1:4" ht="15">
      <c r="A531" s="579" t="s">
        <v>1254</v>
      </c>
      <c r="B531" s="580" t="s">
        <v>155</v>
      </c>
      <c r="C531" s="581">
        <v>0</v>
      </c>
      <c r="D531" s="582" t="s">
        <v>100</v>
      </c>
    </row>
    <row r="532" spans="1:4" ht="15">
      <c r="A532" s="583" t="s">
        <v>1255</v>
      </c>
      <c r="B532" s="584" t="s">
        <v>1256</v>
      </c>
      <c r="C532" s="585">
        <v>0</v>
      </c>
      <c r="D532" s="586" t="s">
        <v>100</v>
      </c>
    </row>
    <row r="533" spans="1:4" ht="15">
      <c r="A533" s="579" t="s">
        <v>1257</v>
      </c>
      <c r="B533" s="580" t="s">
        <v>1258</v>
      </c>
      <c r="C533" s="581">
        <v>-4782000</v>
      </c>
      <c r="D533" s="582" t="s">
        <v>100</v>
      </c>
    </row>
    <row r="534" spans="1:4" ht="15">
      <c r="A534" s="583" t="s">
        <v>1259</v>
      </c>
      <c r="B534" s="584" t="s">
        <v>1260</v>
      </c>
      <c r="C534" s="585">
        <v>-13242450</v>
      </c>
      <c r="D534" s="586" t="s">
        <v>100</v>
      </c>
    </row>
    <row r="535" spans="1:4" ht="15">
      <c r="A535" s="579" t="s">
        <v>1261</v>
      </c>
      <c r="B535" s="580" t="s">
        <v>1262</v>
      </c>
      <c r="C535" s="581">
        <v>-41536.839999999997</v>
      </c>
      <c r="D535" s="582" t="s">
        <v>100</v>
      </c>
    </row>
    <row r="536" spans="1:4" ht="15">
      <c r="A536" s="583" t="s">
        <v>1263</v>
      </c>
      <c r="B536" s="584" t="s">
        <v>1264</v>
      </c>
      <c r="C536" s="585">
        <v>-577790.51</v>
      </c>
      <c r="D536" s="586" t="s">
        <v>100</v>
      </c>
    </row>
    <row r="537" spans="1:4" ht="15">
      <c r="A537" s="579" t="s">
        <v>1265</v>
      </c>
      <c r="B537" s="580" t="s">
        <v>1625</v>
      </c>
      <c r="C537" s="581">
        <v>-86887.27</v>
      </c>
      <c r="D537" s="582" t="s">
        <v>100</v>
      </c>
    </row>
    <row r="538" spans="1:4" ht="15">
      <c r="A538" s="583" t="s">
        <v>1267</v>
      </c>
      <c r="B538" s="584" t="s">
        <v>1268</v>
      </c>
      <c r="C538" s="585">
        <v>-23391.73</v>
      </c>
      <c r="D538" s="586" t="s">
        <v>100</v>
      </c>
    </row>
    <row r="539" spans="1:4" ht="15">
      <c r="A539" s="579" t="s">
        <v>1269</v>
      </c>
      <c r="B539" s="580" t="s">
        <v>1270</v>
      </c>
      <c r="C539" s="581">
        <v>-18754056.350000001</v>
      </c>
      <c r="D539" s="582" t="s">
        <v>1271</v>
      </c>
    </row>
    <row r="540" spans="1:4" ht="15">
      <c r="A540" s="583" t="s">
        <v>1272</v>
      </c>
      <c r="B540" s="584" t="s">
        <v>189</v>
      </c>
      <c r="C540" s="585">
        <v>0</v>
      </c>
      <c r="D540" s="586" t="s">
        <v>100</v>
      </c>
    </row>
    <row r="541" spans="1:4" ht="15">
      <c r="A541" s="579" t="s">
        <v>1273</v>
      </c>
      <c r="B541" s="580" t="s">
        <v>1110</v>
      </c>
      <c r="C541" s="581">
        <v>-3327252.07</v>
      </c>
      <c r="D541" s="582" t="s">
        <v>100</v>
      </c>
    </row>
    <row r="542" spans="1:4" ht="15">
      <c r="A542" s="583" t="s">
        <v>1274</v>
      </c>
      <c r="B542" s="584" t="s">
        <v>1626</v>
      </c>
      <c r="C542" s="585">
        <v>-346054.58</v>
      </c>
      <c r="D542" s="586" t="s">
        <v>100</v>
      </c>
    </row>
    <row r="543" spans="1:4" ht="15">
      <c r="A543" s="579" t="s">
        <v>1276</v>
      </c>
      <c r="B543" s="580" t="s">
        <v>1277</v>
      </c>
      <c r="C543" s="581">
        <v>0</v>
      </c>
      <c r="D543" s="582" t="s">
        <v>100</v>
      </c>
    </row>
    <row r="544" spans="1:4" ht="15">
      <c r="A544" s="583" t="s">
        <v>1278</v>
      </c>
      <c r="B544" s="584" t="s">
        <v>1279</v>
      </c>
      <c r="C544" s="585">
        <v>-249900</v>
      </c>
      <c r="D544" s="586" t="s">
        <v>100</v>
      </c>
    </row>
    <row r="545" spans="1:4" ht="15">
      <c r="A545" s="579" t="s">
        <v>1280</v>
      </c>
      <c r="B545" s="580" t="s">
        <v>1281</v>
      </c>
      <c r="C545" s="581">
        <v>6873.15</v>
      </c>
      <c r="D545" s="582" t="s">
        <v>100</v>
      </c>
    </row>
    <row r="546" spans="1:4" ht="15">
      <c r="A546" s="583" t="s">
        <v>1282</v>
      </c>
      <c r="B546" s="584" t="s">
        <v>251</v>
      </c>
      <c r="C546" s="585">
        <v>-3916333.5</v>
      </c>
      <c r="D546" s="586" t="s">
        <v>1283</v>
      </c>
    </row>
    <row r="547" spans="1:4" ht="15">
      <c r="A547" s="579" t="s">
        <v>1284</v>
      </c>
      <c r="B547" s="580" t="s">
        <v>278</v>
      </c>
      <c r="C547" s="581">
        <v>-22670389.850000001</v>
      </c>
      <c r="D547" s="582" t="s">
        <v>1285</v>
      </c>
    </row>
    <row r="548" spans="1:4" ht="15">
      <c r="A548" s="583" t="s">
        <v>1286</v>
      </c>
      <c r="B548" s="584" t="s">
        <v>281</v>
      </c>
      <c r="C548" s="585">
        <v>0</v>
      </c>
      <c r="D548" s="586" t="s">
        <v>100</v>
      </c>
    </row>
    <row r="549" spans="1:4" ht="15">
      <c r="A549" s="579" t="s">
        <v>1287</v>
      </c>
      <c r="B549" s="580" t="s">
        <v>1288</v>
      </c>
      <c r="C549" s="581">
        <v>0</v>
      </c>
      <c r="D549" s="582" t="s">
        <v>100</v>
      </c>
    </row>
    <row r="550" spans="1:4" ht="15">
      <c r="A550" s="583" t="s">
        <v>1289</v>
      </c>
      <c r="B550" s="584" t="s">
        <v>47</v>
      </c>
      <c r="C550" s="585">
        <v>1459919.8</v>
      </c>
      <c r="D550" s="586" t="s">
        <v>100</v>
      </c>
    </row>
    <row r="551" spans="1:4" ht="15">
      <c r="A551" s="579" t="s">
        <v>1290</v>
      </c>
      <c r="B551" s="580" t="s">
        <v>1627</v>
      </c>
      <c r="C551" s="581">
        <v>11935.05</v>
      </c>
      <c r="D551" s="582" t="s">
        <v>100</v>
      </c>
    </row>
    <row r="552" spans="1:4" ht="15">
      <c r="A552" s="583" t="s">
        <v>1292</v>
      </c>
      <c r="B552" s="584" t="s">
        <v>1293</v>
      </c>
      <c r="C552" s="585">
        <v>68863.34</v>
      </c>
      <c r="D552" s="586" t="s">
        <v>100</v>
      </c>
    </row>
    <row r="553" spans="1:4" ht="15">
      <c r="A553" s="579" t="s">
        <v>1294</v>
      </c>
      <c r="B553" s="580" t="s">
        <v>1295</v>
      </c>
      <c r="C553" s="581">
        <v>58922.89</v>
      </c>
      <c r="D553" s="582" t="s">
        <v>100</v>
      </c>
    </row>
    <row r="554" spans="1:4" ht="15">
      <c r="A554" s="583" t="s">
        <v>1296</v>
      </c>
      <c r="B554" s="584" t="s">
        <v>1297</v>
      </c>
      <c r="C554" s="585">
        <v>0</v>
      </c>
      <c r="D554" s="586" t="s">
        <v>100</v>
      </c>
    </row>
    <row r="555" spans="1:4" ht="15">
      <c r="A555" s="579" t="s">
        <v>1298</v>
      </c>
      <c r="B555" s="580" t="s">
        <v>1299</v>
      </c>
      <c r="C555" s="581">
        <v>5732</v>
      </c>
      <c r="D555" s="582" t="s">
        <v>100</v>
      </c>
    </row>
    <row r="556" spans="1:4" ht="15">
      <c r="A556" s="583" t="s">
        <v>1300</v>
      </c>
      <c r="B556" s="584" t="s">
        <v>1301</v>
      </c>
      <c r="C556" s="585">
        <v>7253.11</v>
      </c>
      <c r="D556" s="586" t="s">
        <v>100</v>
      </c>
    </row>
    <row r="557" spans="1:4" ht="15">
      <c r="A557" s="579" t="s">
        <v>1302</v>
      </c>
      <c r="B557" s="580" t="s">
        <v>1303</v>
      </c>
      <c r="C557" s="581">
        <v>397909.33</v>
      </c>
      <c r="D557" s="582" t="s">
        <v>100</v>
      </c>
    </row>
    <row r="558" spans="1:4" ht="15">
      <c r="A558" s="583" t="s">
        <v>1304</v>
      </c>
      <c r="B558" s="584" t="s">
        <v>664</v>
      </c>
      <c r="C558" s="585">
        <v>5353721.58</v>
      </c>
      <c r="D558" s="586" t="s">
        <v>100</v>
      </c>
    </row>
    <row r="559" spans="1:4" ht="15">
      <c r="A559" s="579" t="s">
        <v>1305</v>
      </c>
      <c r="B559" s="580" t="s">
        <v>1306</v>
      </c>
      <c r="C559" s="581">
        <v>395335.2</v>
      </c>
      <c r="D559" s="582" t="s">
        <v>100</v>
      </c>
    </row>
    <row r="560" spans="1:4" ht="15">
      <c r="A560" s="583" t="s">
        <v>1307</v>
      </c>
      <c r="B560" s="584" t="s">
        <v>1628</v>
      </c>
      <c r="C560" s="585">
        <v>1543116.36</v>
      </c>
      <c r="D560" s="586" t="s">
        <v>100</v>
      </c>
    </row>
    <row r="561" spans="1:4" ht="15">
      <c r="A561" s="579" t="s">
        <v>1309</v>
      </c>
      <c r="B561" s="580" t="s">
        <v>1310</v>
      </c>
      <c r="C561" s="581">
        <v>284383.87</v>
      </c>
      <c r="D561" s="582" t="s">
        <v>100</v>
      </c>
    </row>
    <row r="562" spans="1:4" ht="15">
      <c r="A562" s="583" t="s">
        <v>1311</v>
      </c>
      <c r="B562" s="584" t="s">
        <v>1312</v>
      </c>
      <c r="C562" s="585">
        <v>23024</v>
      </c>
      <c r="D562" s="586" t="s">
        <v>100</v>
      </c>
    </row>
    <row r="563" spans="1:4" ht="15">
      <c r="A563" s="579" t="s">
        <v>1313</v>
      </c>
      <c r="B563" s="580" t="s">
        <v>1314</v>
      </c>
      <c r="C563" s="581">
        <v>566197.36</v>
      </c>
      <c r="D563" s="582" t="s">
        <v>100</v>
      </c>
    </row>
    <row r="564" spans="1:4" ht="15">
      <c r="A564" s="583" t="s">
        <v>1315</v>
      </c>
      <c r="B564" s="584" t="s">
        <v>1316</v>
      </c>
      <c r="C564" s="585">
        <v>0</v>
      </c>
      <c r="D564" s="586" t="s">
        <v>100</v>
      </c>
    </row>
    <row r="565" spans="1:4" ht="15">
      <c r="A565" s="579" t="s">
        <v>1317</v>
      </c>
      <c r="B565" s="580" t="s">
        <v>1318</v>
      </c>
      <c r="C565" s="581">
        <v>0</v>
      </c>
      <c r="D565" s="582" t="s">
        <v>100</v>
      </c>
    </row>
    <row r="566" spans="1:4" ht="15">
      <c r="A566" s="583" t="s">
        <v>1319</v>
      </c>
      <c r="B566" s="584" t="s">
        <v>1320</v>
      </c>
      <c r="C566" s="585">
        <v>10176313.890000001</v>
      </c>
      <c r="D566" s="586" t="s">
        <v>1321</v>
      </c>
    </row>
    <row r="567" spans="1:4" ht="15">
      <c r="A567" s="579" t="s">
        <v>1322</v>
      </c>
      <c r="B567" s="580" t="s">
        <v>1323</v>
      </c>
      <c r="C567" s="581">
        <v>0</v>
      </c>
      <c r="D567" s="582" t="s">
        <v>100</v>
      </c>
    </row>
    <row r="568" spans="1:4" ht="15">
      <c r="A568" s="583" t="s">
        <v>1324</v>
      </c>
      <c r="B568" s="584" t="s">
        <v>1325</v>
      </c>
      <c r="C568" s="585">
        <v>89808.39</v>
      </c>
      <c r="D568" s="586" t="s">
        <v>100</v>
      </c>
    </row>
    <row r="569" spans="1:4" ht="15">
      <c r="A569" s="579" t="s">
        <v>1326</v>
      </c>
      <c r="B569" s="580" t="s">
        <v>1327</v>
      </c>
      <c r="C569" s="581">
        <v>0</v>
      </c>
      <c r="D569" s="582" t="s">
        <v>100</v>
      </c>
    </row>
    <row r="570" spans="1:4" ht="15">
      <c r="A570" s="583" t="s">
        <v>1328</v>
      </c>
      <c r="B570" s="584" t="s">
        <v>1329</v>
      </c>
      <c r="C570" s="585">
        <v>0</v>
      </c>
      <c r="D570" s="586" t="s">
        <v>100</v>
      </c>
    </row>
    <row r="571" spans="1:4" ht="15">
      <c r="A571" s="579" t="s">
        <v>1330</v>
      </c>
      <c r="B571" s="580" t="s">
        <v>1331</v>
      </c>
      <c r="C571" s="581">
        <v>1027.75</v>
      </c>
      <c r="D571" s="582" t="s">
        <v>100</v>
      </c>
    </row>
    <row r="572" spans="1:4" ht="15">
      <c r="A572" s="583" t="s">
        <v>1332</v>
      </c>
      <c r="B572" s="584" t="s">
        <v>1333</v>
      </c>
      <c r="C572" s="585">
        <v>90836.14</v>
      </c>
      <c r="D572" s="586" t="s">
        <v>1334</v>
      </c>
    </row>
    <row r="573" spans="1:4" ht="15">
      <c r="A573" s="579" t="s">
        <v>1335</v>
      </c>
      <c r="B573" s="580" t="s">
        <v>1336</v>
      </c>
      <c r="C573" s="581">
        <v>0</v>
      </c>
      <c r="D573" s="582" t="s">
        <v>100</v>
      </c>
    </row>
    <row r="574" spans="1:4" ht="15">
      <c r="A574" s="583" t="s">
        <v>1337</v>
      </c>
      <c r="B574" s="584" t="s">
        <v>1338</v>
      </c>
      <c r="C574" s="585">
        <v>817448.3</v>
      </c>
      <c r="D574" s="586" t="s">
        <v>100</v>
      </c>
    </row>
    <row r="575" spans="1:4" ht="15">
      <c r="A575" s="579" t="s">
        <v>1339</v>
      </c>
      <c r="B575" s="580" t="s">
        <v>1340</v>
      </c>
      <c r="C575" s="581">
        <v>175167.7</v>
      </c>
      <c r="D575" s="582" t="s">
        <v>100</v>
      </c>
    </row>
    <row r="576" spans="1:4" ht="15">
      <c r="A576" s="583" t="s">
        <v>1341</v>
      </c>
      <c r="B576" s="584" t="s">
        <v>1342</v>
      </c>
      <c r="C576" s="585">
        <v>158400</v>
      </c>
      <c r="D576" s="586" t="s">
        <v>100</v>
      </c>
    </row>
    <row r="577" spans="1:4" ht="15">
      <c r="A577" s="579" t="s">
        <v>1343</v>
      </c>
      <c r="B577" s="580" t="s">
        <v>1344</v>
      </c>
      <c r="C577" s="581">
        <v>1441.39</v>
      </c>
      <c r="D577" s="582" t="s">
        <v>100</v>
      </c>
    </row>
    <row r="578" spans="1:4" ht="15">
      <c r="A578" s="583" t="s">
        <v>1345</v>
      </c>
      <c r="B578" s="584" t="s">
        <v>1346</v>
      </c>
      <c r="C578" s="585">
        <v>291878.84999999998</v>
      </c>
      <c r="D578" s="586" t="s">
        <v>100</v>
      </c>
    </row>
    <row r="579" spans="1:4" ht="15">
      <c r="A579" s="579" t="s">
        <v>1347</v>
      </c>
      <c r="B579" s="580" t="s">
        <v>1348</v>
      </c>
      <c r="C579" s="581">
        <v>0</v>
      </c>
      <c r="D579" s="582" t="s">
        <v>100</v>
      </c>
    </row>
    <row r="580" spans="1:4" ht="15">
      <c r="A580" s="583" t="s">
        <v>1349</v>
      </c>
      <c r="B580" s="584" t="s">
        <v>1350</v>
      </c>
      <c r="C580" s="585">
        <v>82728.179999999993</v>
      </c>
      <c r="D580" s="586" t="s">
        <v>100</v>
      </c>
    </row>
    <row r="581" spans="1:4" ht="15">
      <c r="A581" s="579" t="s">
        <v>1351</v>
      </c>
      <c r="B581" s="580" t="s">
        <v>1352</v>
      </c>
      <c r="C581" s="581">
        <v>0</v>
      </c>
      <c r="D581" s="582" t="s">
        <v>100</v>
      </c>
    </row>
    <row r="582" spans="1:4" ht="15">
      <c r="A582" s="583" t="s">
        <v>1353</v>
      </c>
      <c r="B582" s="584" t="s">
        <v>1354</v>
      </c>
      <c r="C582" s="585">
        <v>0</v>
      </c>
      <c r="D582" s="586" t="s">
        <v>100</v>
      </c>
    </row>
    <row r="583" spans="1:4" ht="15">
      <c r="A583" s="579" t="s">
        <v>1355</v>
      </c>
      <c r="B583" s="580" t="s">
        <v>1356</v>
      </c>
      <c r="C583" s="581">
        <v>0</v>
      </c>
      <c r="D583" s="582" t="s">
        <v>100</v>
      </c>
    </row>
    <row r="584" spans="1:4" ht="15">
      <c r="A584" s="583" t="s">
        <v>1357</v>
      </c>
      <c r="B584" s="584" t="s">
        <v>1358</v>
      </c>
      <c r="C584" s="585">
        <v>36755</v>
      </c>
      <c r="D584" s="586" t="s">
        <v>100</v>
      </c>
    </row>
    <row r="585" spans="1:4" ht="15">
      <c r="A585" s="579" t="s">
        <v>1359</v>
      </c>
      <c r="B585" s="580" t="s">
        <v>1360</v>
      </c>
      <c r="C585" s="581">
        <v>895121.2</v>
      </c>
      <c r="D585" s="582" t="s">
        <v>100</v>
      </c>
    </row>
    <row r="586" spans="1:4" ht="15">
      <c r="A586" s="583" t="s">
        <v>1361</v>
      </c>
      <c r="B586" s="584" t="s">
        <v>1362</v>
      </c>
      <c r="C586" s="585">
        <v>960812.21</v>
      </c>
      <c r="D586" s="586" t="s">
        <v>100</v>
      </c>
    </row>
    <row r="587" spans="1:4" ht="15">
      <c r="A587" s="579" t="s">
        <v>1363</v>
      </c>
      <c r="B587" s="580" t="s">
        <v>1364</v>
      </c>
      <c r="C587" s="581">
        <v>0</v>
      </c>
      <c r="D587" s="582" t="s">
        <v>100</v>
      </c>
    </row>
    <row r="588" spans="1:4" ht="15">
      <c r="A588" s="583" t="s">
        <v>1365</v>
      </c>
      <c r="B588" s="584" t="s">
        <v>1366</v>
      </c>
      <c r="C588" s="585">
        <v>2512697.35</v>
      </c>
      <c r="D588" s="586" t="s">
        <v>100</v>
      </c>
    </row>
    <row r="589" spans="1:4" ht="15">
      <c r="A589" s="579" t="s">
        <v>1367</v>
      </c>
      <c r="B589" s="580" t="s">
        <v>495</v>
      </c>
      <c r="C589" s="581">
        <v>350613.46</v>
      </c>
      <c r="D589" s="582" t="s">
        <v>100</v>
      </c>
    </row>
    <row r="590" spans="1:4" ht="15">
      <c r="A590" s="583" t="s">
        <v>1368</v>
      </c>
      <c r="B590" s="584" t="s">
        <v>1369</v>
      </c>
      <c r="C590" s="585">
        <v>569789.56000000006</v>
      </c>
      <c r="D590" s="586" t="s">
        <v>100</v>
      </c>
    </row>
    <row r="591" spans="1:4" ht="15">
      <c r="A591" s="579" t="s">
        <v>1370</v>
      </c>
      <c r="B591" s="580" t="s">
        <v>1301</v>
      </c>
      <c r="C591" s="581">
        <v>0</v>
      </c>
      <c r="D591" s="582" t="s">
        <v>100</v>
      </c>
    </row>
    <row r="592" spans="1:4" ht="15">
      <c r="A592" s="583" t="s">
        <v>1371</v>
      </c>
      <c r="B592" s="584" t="s">
        <v>1372</v>
      </c>
      <c r="C592" s="585">
        <v>9275.66</v>
      </c>
      <c r="D592" s="586" t="s">
        <v>100</v>
      </c>
    </row>
    <row r="593" spans="1:4" ht="15">
      <c r="A593" s="579" t="s">
        <v>1373</v>
      </c>
      <c r="B593" s="580" t="s">
        <v>1374</v>
      </c>
      <c r="C593" s="581">
        <v>6862128.8600000003</v>
      </c>
      <c r="D593" s="582" t="s">
        <v>1375</v>
      </c>
    </row>
    <row r="594" spans="1:4" ht="15">
      <c r="A594" s="583" t="s">
        <v>1376</v>
      </c>
      <c r="B594" s="584" t="s">
        <v>1377</v>
      </c>
      <c r="C594" s="585">
        <v>0</v>
      </c>
      <c r="D594" s="586" t="s">
        <v>100</v>
      </c>
    </row>
    <row r="595" spans="1:4" ht="15">
      <c r="A595" s="579" t="s">
        <v>1378</v>
      </c>
      <c r="B595" s="580" t="s">
        <v>1379</v>
      </c>
      <c r="C595" s="581">
        <v>1643544.59</v>
      </c>
      <c r="D595" s="582" t="s">
        <v>100</v>
      </c>
    </row>
    <row r="596" spans="1:4" ht="15">
      <c r="A596" s="583" t="s">
        <v>1380</v>
      </c>
      <c r="B596" s="584" t="s">
        <v>1381</v>
      </c>
      <c r="C596" s="585">
        <v>1643544.59</v>
      </c>
      <c r="D596" s="586" t="s">
        <v>1382</v>
      </c>
    </row>
    <row r="597" spans="1:4" ht="15">
      <c r="A597" s="579" t="s">
        <v>1383</v>
      </c>
      <c r="B597" s="580" t="s">
        <v>1384</v>
      </c>
      <c r="C597" s="581">
        <v>0</v>
      </c>
      <c r="D597" s="582" t="s">
        <v>100</v>
      </c>
    </row>
    <row r="598" spans="1:4" ht="15">
      <c r="A598" s="583" t="s">
        <v>1385</v>
      </c>
      <c r="B598" s="584" t="s">
        <v>1386</v>
      </c>
      <c r="C598" s="585">
        <v>204938.75</v>
      </c>
      <c r="D598" s="586" t="s">
        <v>100</v>
      </c>
    </row>
    <row r="599" spans="1:4" ht="15">
      <c r="A599" s="579" t="s">
        <v>1387</v>
      </c>
      <c r="B599" s="580" t="s">
        <v>1388</v>
      </c>
      <c r="C599" s="581">
        <v>0</v>
      </c>
      <c r="D599" s="582" t="s">
        <v>100</v>
      </c>
    </row>
    <row r="600" spans="1:4" ht="15">
      <c r="A600" s="583" t="s">
        <v>1389</v>
      </c>
      <c r="B600" s="584" t="s">
        <v>1390</v>
      </c>
      <c r="C600" s="585">
        <v>0</v>
      </c>
      <c r="D600" s="586" t="s">
        <v>100</v>
      </c>
    </row>
    <row r="601" spans="1:4" ht="15">
      <c r="A601" s="579" t="s">
        <v>1391</v>
      </c>
      <c r="B601" s="580" t="s">
        <v>1392</v>
      </c>
      <c r="C601" s="581">
        <v>204938.75</v>
      </c>
      <c r="D601" s="582" t="s">
        <v>1393</v>
      </c>
    </row>
    <row r="602" spans="1:4" ht="15">
      <c r="A602" s="583" t="s">
        <v>1394</v>
      </c>
      <c r="B602" s="584" t="s">
        <v>1152</v>
      </c>
      <c r="C602" s="585">
        <v>18977762.23</v>
      </c>
      <c r="D602" s="586" t="s">
        <v>1395</v>
      </c>
    </row>
    <row r="603" spans="1:4" ht="15">
      <c r="A603" s="579" t="s">
        <v>1396</v>
      </c>
      <c r="B603" s="580" t="s">
        <v>1397</v>
      </c>
      <c r="C603" s="581">
        <v>-3692627.62</v>
      </c>
      <c r="D603" s="582" t="s">
        <v>1398</v>
      </c>
    </row>
    <row r="604" spans="1:4" ht="15">
      <c r="A604" s="583" t="s">
        <v>1399</v>
      </c>
      <c r="B604" s="584" t="s">
        <v>1400</v>
      </c>
      <c r="C604" s="585">
        <v>0</v>
      </c>
      <c r="D604" s="586" t="s">
        <v>100</v>
      </c>
    </row>
    <row r="605" spans="1:4" ht="15">
      <c r="A605" s="579" t="s">
        <v>1401</v>
      </c>
      <c r="B605" s="580" t="s">
        <v>1402</v>
      </c>
      <c r="C605" s="581">
        <v>-3900</v>
      </c>
      <c r="D605" s="582" t="s">
        <v>100</v>
      </c>
    </row>
    <row r="606" spans="1:4" ht="15">
      <c r="A606" s="583" t="s">
        <v>1403</v>
      </c>
      <c r="B606" s="584" t="s">
        <v>1404</v>
      </c>
      <c r="C606" s="585">
        <v>0</v>
      </c>
      <c r="D606" s="586" t="s">
        <v>100</v>
      </c>
    </row>
    <row r="607" spans="1:4" ht="15">
      <c r="A607" s="579" t="s">
        <v>1405</v>
      </c>
      <c r="B607" s="580" t="s">
        <v>1406</v>
      </c>
      <c r="C607" s="581">
        <v>-46352.79</v>
      </c>
      <c r="D607" s="582" t="s">
        <v>100</v>
      </c>
    </row>
    <row r="608" spans="1:4" ht="15">
      <c r="A608" s="583" t="s">
        <v>1407</v>
      </c>
      <c r="B608" s="584" t="s">
        <v>1408</v>
      </c>
      <c r="C608" s="585">
        <v>-50252.79</v>
      </c>
      <c r="D608" s="586" t="s">
        <v>1409</v>
      </c>
    </row>
    <row r="609" spans="1:4" ht="15">
      <c r="A609" s="579" t="s">
        <v>1410</v>
      </c>
      <c r="B609" s="580" t="s">
        <v>1411</v>
      </c>
      <c r="C609" s="581">
        <v>0</v>
      </c>
      <c r="D609" s="582" t="s">
        <v>100</v>
      </c>
    </row>
    <row r="610" spans="1:4" ht="15">
      <c r="A610" s="583" t="s">
        <v>1412</v>
      </c>
      <c r="B610" s="584" t="s">
        <v>1413</v>
      </c>
      <c r="C610" s="585">
        <v>0</v>
      </c>
      <c r="D610" s="586" t="s">
        <v>100</v>
      </c>
    </row>
    <row r="611" spans="1:4" ht="15">
      <c r="A611" s="579" t="s">
        <v>1414</v>
      </c>
      <c r="B611" s="580" t="s">
        <v>1415</v>
      </c>
      <c r="C611" s="581">
        <v>0</v>
      </c>
      <c r="D611" s="582" t="s">
        <v>100</v>
      </c>
    </row>
    <row r="612" spans="1:4" ht="15">
      <c r="A612" s="583" t="s">
        <v>1416</v>
      </c>
      <c r="B612" s="584" t="s">
        <v>1417</v>
      </c>
      <c r="C612" s="585">
        <v>11223.62</v>
      </c>
      <c r="D612" s="586" t="s">
        <v>100</v>
      </c>
    </row>
    <row r="613" spans="1:4" ht="15">
      <c r="A613" s="579" t="s">
        <v>1418</v>
      </c>
      <c r="B613" s="580" t="s">
        <v>515</v>
      </c>
      <c r="C613" s="581">
        <v>-482666.42</v>
      </c>
      <c r="D613" s="582" t="s">
        <v>100</v>
      </c>
    </row>
    <row r="614" spans="1:4" ht="15">
      <c r="A614" s="583" t="s">
        <v>1629</v>
      </c>
      <c r="B614" s="584" t="s">
        <v>1630</v>
      </c>
      <c r="C614" s="585">
        <v>-1189019.52</v>
      </c>
      <c r="D614" s="586" t="s">
        <v>100</v>
      </c>
    </row>
    <row r="615" spans="1:4" ht="15">
      <c r="A615" s="579" t="s">
        <v>1631</v>
      </c>
      <c r="B615" s="580" t="s">
        <v>1632</v>
      </c>
      <c r="C615" s="581">
        <v>-48978.36</v>
      </c>
      <c r="D615" s="582" t="s">
        <v>100</v>
      </c>
    </row>
    <row r="616" spans="1:4" ht="15">
      <c r="A616" s="583" t="s">
        <v>1419</v>
      </c>
      <c r="B616" s="584" t="s">
        <v>1420</v>
      </c>
      <c r="C616" s="585">
        <v>-1709440.68</v>
      </c>
      <c r="D616" s="586" t="s">
        <v>1421</v>
      </c>
    </row>
    <row r="617" spans="1:4" ht="15">
      <c r="A617" s="579" t="s">
        <v>1422</v>
      </c>
      <c r="B617" s="580" t="s">
        <v>1423</v>
      </c>
      <c r="C617" s="581">
        <v>0</v>
      </c>
      <c r="D617" s="582" t="s">
        <v>100</v>
      </c>
    </row>
    <row r="618" spans="1:4" ht="15">
      <c r="A618" s="583" t="s">
        <v>1424</v>
      </c>
      <c r="B618" s="584" t="s">
        <v>1425</v>
      </c>
      <c r="C618" s="585">
        <v>44912.14</v>
      </c>
      <c r="D618" s="586" t="s">
        <v>100</v>
      </c>
    </row>
    <row r="619" spans="1:4" ht="15">
      <c r="A619" s="579" t="s">
        <v>1426</v>
      </c>
      <c r="B619" s="580" t="s">
        <v>1427</v>
      </c>
      <c r="C619" s="581">
        <v>224707.5</v>
      </c>
      <c r="D619" s="582" t="s">
        <v>100</v>
      </c>
    </row>
    <row r="620" spans="1:4" ht="15">
      <c r="A620" s="583" t="s">
        <v>1428</v>
      </c>
      <c r="B620" s="584" t="s">
        <v>1429</v>
      </c>
      <c r="C620" s="585">
        <v>-20227.900000000001</v>
      </c>
      <c r="D620" s="586" t="s">
        <v>100</v>
      </c>
    </row>
    <row r="621" spans="1:4" ht="15">
      <c r="A621" s="579" t="s">
        <v>1430</v>
      </c>
      <c r="B621" s="580" t="s">
        <v>1431</v>
      </c>
      <c r="C621" s="581">
        <v>0</v>
      </c>
      <c r="D621" s="582" t="s">
        <v>100</v>
      </c>
    </row>
    <row r="622" spans="1:4" ht="15">
      <c r="A622" s="583" t="s">
        <v>1432</v>
      </c>
      <c r="B622" s="584" t="s">
        <v>1433</v>
      </c>
      <c r="C622" s="585">
        <v>62510</v>
      </c>
      <c r="D622" s="586" t="s">
        <v>100</v>
      </c>
    </row>
    <row r="623" spans="1:4" ht="15">
      <c r="A623" s="579" t="s">
        <v>1434</v>
      </c>
      <c r="B623" s="580" t="s">
        <v>1435</v>
      </c>
      <c r="C623" s="581">
        <v>-62510</v>
      </c>
      <c r="D623" s="582" t="s">
        <v>100</v>
      </c>
    </row>
    <row r="624" spans="1:4" ht="15">
      <c r="A624" s="583" t="s">
        <v>1436</v>
      </c>
      <c r="B624" s="584" t="s">
        <v>1437</v>
      </c>
      <c r="C624" s="585">
        <v>102848.6</v>
      </c>
      <c r="D624" s="586" t="s">
        <v>100</v>
      </c>
    </row>
    <row r="625" spans="1:4" ht="15">
      <c r="A625" s="579" t="s">
        <v>1438</v>
      </c>
      <c r="B625" s="580" t="s">
        <v>1439</v>
      </c>
      <c r="C625" s="581">
        <v>352240.34</v>
      </c>
      <c r="D625" s="582" t="s">
        <v>1440</v>
      </c>
    </row>
    <row r="626" spans="1:4" ht="15">
      <c r="A626" s="583" t="s">
        <v>1441</v>
      </c>
      <c r="B626" s="584" t="s">
        <v>1442</v>
      </c>
      <c r="C626" s="585">
        <v>-11545374.68</v>
      </c>
      <c r="D626" s="586" t="s">
        <v>1443</v>
      </c>
    </row>
    <row r="627" spans="1:4" ht="15">
      <c r="A627" s="579" t="s">
        <v>1444</v>
      </c>
      <c r="B627" s="580" t="s">
        <v>1445</v>
      </c>
      <c r="C627" s="581">
        <v>-76848174.180000007</v>
      </c>
      <c r="D627" s="582" t="s">
        <v>1446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7D812-BF81-4D5C-B351-79454DB1C117}">
  <dimension ref="A1:AG628"/>
  <sheetViews>
    <sheetView topLeftCell="A84" workbookViewId="0">
      <selection activeCell="O144" sqref="O144"/>
    </sheetView>
  </sheetViews>
  <sheetFormatPr baseColWidth="10" defaultColWidth="8.83203125" defaultRowHeight="14"/>
  <cols>
    <col min="1" max="1" width="6.83203125" bestFit="1" customWidth="1"/>
    <col min="2" max="2" width="37" bestFit="1" customWidth="1"/>
    <col min="3" max="3" width="11.33203125" bestFit="1" customWidth="1"/>
    <col min="4" max="4" width="15" hidden="1" customWidth="1"/>
    <col min="5" max="5" width="30.5" hidden="1" customWidth="1"/>
    <col min="6" max="6" width="38" hidden="1" customWidth="1"/>
    <col min="7" max="7" width="15.5" hidden="1" customWidth="1"/>
    <col min="8" max="8" width="27" hidden="1" customWidth="1"/>
    <col min="9" max="9" width="26.83203125" hidden="1" customWidth="1"/>
    <col min="10" max="10" width="24.5" hidden="1" customWidth="1"/>
    <col min="11" max="11" width="24" hidden="1" customWidth="1"/>
    <col min="12" max="12" width="36.33203125" hidden="1" customWidth="1"/>
    <col min="13" max="13" width="25.5" hidden="1" customWidth="1"/>
    <col min="14" max="14" width="30.5" hidden="1" customWidth="1"/>
    <col min="15" max="15" width="8.83203125" bestFit="1" customWidth="1"/>
    <col min="16" max="16" width="11" bestFit="1" customWidth="1"/>
    <col min="17" max="17" width="11.5" hidden="1" customWidth="1"/>
    <col min="18" max="18" width="8.83203125" bestFit="1" customWidth="1"/>
    <col min="19" max="19" width="11" bestFit="1" customWidth="1"/>
    <col min="20" max="20" width="26" hidden="1" customWidth="1"/>
    <col min="21" max="21" width="9.83203125" bestFit="1" customWidth="1"/>
    <col min="22" max="22" width="28" hidden="1" customWidth="1"/>
    <col min="23" max="23" width="23.5" hidden="1" customWidth="1"/>
    <col min="24" max="24" width="11.83203125" bestFit="1" customWidth="1"/>
    <col min="25" max="25" width="10.5" bestFit="1" customWidth="1"/>
    <col min="26" max="27" width="13.5" bestFit="1" customWidth="1"/>
    <col min="28" max="28" width="10.5" bestFit="1" customWidth="1"/>
    <col min="29" max="29" width="21.5" hidden="1" customWidth="1"/>
    <col min="30" max="30" width="24.83203125" hidden="1" customWidth="1"/>
    <col min="31" max="31" width="20" hidden="1" customWidth="1"/>
    <col min="32" max="32" width="8.83203125" bestFit="1" customWidth="1"/>
    <col min="33" max="33" width="9.5" bestFit="1" customWidth="1"/>
  </cols>
  <sheetData>
    <row r="1" spans="1:33" ht="15">
      <c r="A1" s="549" t="s">
        <v>432</v>
      </c>
      <c r="B1" s="549" t="s">
        <v>148</v>
      </c>
      <c r="C1" s="549" t="s">
        <v>433</v>
      </c>
      <c r="D1" s="549" t="s">
        <v>2040</v>
      </c>
      <c r="E1" s="549" t="s">
        <v>2041</v>
      </c>
      <c r="F1" s="549" t="s">
        <v>2042</v>
      </c>
      <c r="G1" s="549" t="s">
        <v>2043</v>
      </c>
      <c r="H1" s="549" t="s">
        <v>2044</v>
      </c>
      <c r="I1" s="549" t="s">
        <v>2045</v>
      </c>
      <c r="J1" s="549" t="s">
        <v>2046</v>
      </c>
      <c r="K1" s="549" t="s">
        <v>2047</v>
      </c>
      <c r="L1" s="549" t="s">
        <v>2048</v>
      </c>
      <c r="M1" s="549" t="s">
        <v>2049</v>
      </c>
      <c r="N1" s="549" t="s">
        <v>2050</v>
      </c>
      <c r="O1" s="549" t="s">
        <v>65</v>
      </c>
      <c r="P1" s="549" t="s">
        <v>1530</v>
      </c>
      <c r="Q1" s="549" t="s">
        <v>2051</v>
      </c>
      <c r="R1" s="549" t="s">
        <v>64</v>
      </c>
      <c r="S1" s="549" t="s">
        <v>725</v>
      </c>
      <c r="T1" s="549" t="s">
        <v>2052</v>
      </c>
      <c r="U1" s="549" t="s">
        <v>2053</v>
      </c>
      <c r="V1" s="549" t="s">
        <v>2054</v>
      </c>
      <c r="W1" s="549" t="s">
        <v>2055</v>
      </c>
      <c r="X1" s="549" t="s">
        <v>2056</v>
      </c>
      <c r="Y1" s="549" t="s">
        <v>2057</v>
      </c>
      <c r="Z1" s="549" t="s">
        <v>2058</v>
      </c>
      <c r="AA1" s="549" t="s">
        <v>63</v>
      </c>
      <c r="AB1" s="549" t="s">
        <v>2059</v>
      </c>
      <c r="AC1" s="549" t="s">
        <v>2060</v>
      </c>
      <c r="AD1" s="549" t="s">
        <v>2061</v>
      </c>
      <c r="AE1" s="549" t="s">
        <v>2062</v>
      </c>
      <c r="AF1" s="549" t="s">
        <v>77</v>
      </c>
      <c r="AG1" s="549" t="s">
        <v>2063</v>
      </c>
    </row>
    <row r="2" spans="1:33">
      <c r="A2" s="553" t="s">
        <v>154</v>
      </c>
      <c r="B2" s="553" t="s">
        <v>155</v>
      </c>
      <c r="C2" s="1">
        <v>0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</row>
    <row r="3" spans="1:33">
      <c r="A3" s="553" t="s">
        <v>158</v>
      </c>
      <c r="B3" s="553" t="s">
        <v>159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</row>
    <row r="4" spans="1:33">
      <c r="A4" s="553" t="s">
        <v>160</v>
      </c>
      <c r="B4" s="553" t="s">
        <v>161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</row>
    <row r="5" spans="1:33">
      <c r="A5" s="553" t="s">
        <v>163</v>
      </c>
      <c r="B5" s="553" t="s">
        <v>164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</row>
    <row r="6" spans="1:33">
      <c r="A6" s="553" t="s">
        <v>165</v>
      </c>
      <c r="B6" s="553" t="s">
        <v>166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</row>
    <row r="7" spans="1:33">
      <c r="A7" s="553" t="s">
        <v>167</v>
      </c>
      <c r="B7" s="553" t="s">
        <v>168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</row>
    <row r="8" spans="1:33">
      <c r="A8" s="553" t="s">
        <v>171</v>
      </c>
      <c r="B8" s="553" t="s">
        <v>172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</row>
    <row r="9" spans="1:33">
      <c r="A9" s="553" t="s">
        <v>173</v>
      </c>
      <c r="B9" s="553" t="s">
        <v>174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</row>
    <row r="10" spans="1:33">
      <c r="A10" s="553" t="s">
        <v>175</v>
      </c>
      <c r="B10" s="553" t="s">
        <v>176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</row>
    <row r="11" spans="1:33">
      <c r="A11" s="553" t="s">
        <v>177</v>
      </c>
      <c r="B11" s="553" t="s">
        <v>178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</row>
    <row r="12" spans="1:33">
      <c r="A12" s="553" t="s">
        <v>179</v>
      </c>
      <c r="B12" s="553" t="s">
        <v>180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</row>
    <row r="13" spans="1:33">
      <c r="A13" s="553" t="s">
        <v>181</v>
      </c>
      <c r="B13" s="553" t="s">
        <v>182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</row>
    <row r="14" spans="1:33">
      <c r="A14" s="553" t="s">
        <v>183</v>
      </c>
      <c r="B14" s="553" t="s">
        <v>184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</row>
    <row r="15" spans="1:33">
      <c r="A15" s="553" t="s">
        <v>1551</v>
      </c>
      <c r="B15" s="553" t="s">
        <v>1552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</row>
    <row r="16" spans="1:33">
      <c r="A16" s="553" t="s">
        <v>1553</v>
      </c>
      <c r="B16" s="553" t="s">
        <v>1554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</row>
    <row r="17" spans="1:33">
      <c r="A17" s="553" t="s">
        <v>185</v>
      </c>
      <c r="B17" s="553" t="s">
        <v>186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</row>
    <row r="18" spans="1:33">
      <c r="A18" s="553" t="s">
        <v>188</v>
      </c>
      <c r="B18" s="553" t="s">
        <v>189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</row>
    <row r="19" spans="1:33">
      <c r="A19" s="553" t="s">
        <v>190</v>
      </c>
      <c r="B19" s="553" t="s">
        <v>191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</row>
    <row r="20" spans="1:33">
      <c r="A20" s="553" t="s">
        <v>192</v>
      </c>
      <c r="B20" s="553" t="s">
        <v>193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</row>
    <row r="21" spans="1:33">
      <c r="A21" s="553" t="s">
        <v>194</v>
      </c>
      <c r="B21" s="553" t="s">
        <v>195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</row>
    <row r="22" spans="1:33">
      <c r="A22" s="553" t="s">
        <v>197</v>
      </c>
      <c r="B22" s="553" t="s">
        <v>198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</row>
    <row r="23" spans="1:33">
      <c r="A23" s="553" t="s">
        <v>199</v>
      </c>
      <c r="B23" s="553" t="s">
        <v>200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</row>
    <row r="24" spans="1:33">
      <c r="A24" s="553" t="s">
        <v>201</v>
      </c>
      <c r="B24" s="553" t="s">
        <v>202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</row>
    <row r="25" spans="1:33">
      <c r="A25" s="553" t="s">
        <v>203</v>
      </c>
      <c r="B25" s="553" t="s">
        <v>204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</row>
    <row r="26" spans="1:33">
      <c r="A26" s="553" t="s">
        <v>205</v>
      </c>
      <c r="B26" s="553" t="s">
        <v>206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</row>
    <row r="27" spans="1:33">
      <c r="A27" s="553" t="s">
        <v>207</v>
      </c>
      <c r="B27" s="553" t="s">
        <v>208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</row>
    <row r="28" spans="1:33">
      <c r="A28" s="553" t="s">
        <v>209</v>
      </c>
      <c r="B28" s="553" t="s">
        <v>210</v>
      </c>
      <c r="C28" s="1">
        <v>3373.75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3373.75</v>
      </c>
      <c r="AF28" s="1">
        <v>0</v>
      </c>
      <c r="AG28" s="1">
        <v>0</v>
      </c>
    </row>
    <row r="29" spans="1:33">
      <c r="A29" s="553" t="s">
        <v>211</v>
      </c>
      <c r="B29" s="553" t="s">
        <v>212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</row>
    <row r="30" spans="1:33">
      <c r="A30" s="553" t="s">
        <v>213</v>
      </c>
      <c r="B30" s="553" t="s">
        <v>214</v>
      </c>
      <c r="C30" s="1">
        <v>16.04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16.04</v>
      </c>
      <c r="AF30" s="1">
        <v>0</v>
      </c>
      <c r="AG30" s="1">
        <v>0</v>
      </c>
    </row>
    <row r="31" spans="1:33">
      <c r="A31" s="553" t="s">
        <v>215</v>
      </c>
      <c r="B31" s="553" t="s">
        <v>216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</row>
    <row r="32" spans="1:33">
      <c r="A32" s="553" t="s">
        <v>217</v>
      </c>
      <c r="B32" s="553" t="s">
        <v>218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</row>
    <row r="33" spans="1:33">
      <c r="A33" s="553" t="s">
        <v>219</v>
      </c>
      <c r="B33" s="553" t="s">
        <v>220</v>
      </c>
      <c r="C33" s="1">
        <v>278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278</v>
      </c>
      <c r="AF33" s="1">
        <v>0</v>
      </c>
      <c r="AG33" s="1">
        <v>0</v>
      </c>
    </row>
    <row r="34" spans="1:33">
      <c r="A34" s="553" t="s">
        <v>221</v>
      </c>
      <c r="B34" s="553" t="s">
        <v>222</v>
      </c>
      <c r="C34" s="1">
        <v>3667.79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3667.79</v>
      </c>
      <c r="AF34" s="1">
        <v>0</v>
      </c>
      <c r="AG34" s="1">
        <v>0</v>
      </c>
    </row>
    <row r="35" spans="1:33">
      <c r="A35" s="553" t="s">
        <v>224</v>
      </c>
      <c r="B35" s="553" t="s">
        <v>225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</row>
    <row r="36" spans="1:33">
      <c r="A36" s="553" t="s">
        <v>226</v>
      </c>
      <c r="B36" s="553" t="s">
        <v>227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</row>
    <row r="37" spans="1:33">
      <c r="A37" s="553" t="s">
        <v>228</v>
      </c>
      <c r="B37" s="553" t="s">
        <v>229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</row>
    <row r="38" spans="1:33">
      <c r="A38" s="553" t="s">
        <v>230</v>
      </c>
      <c r="B38" s="553" t="s">
        <v>1555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</row>
    <row r="39" spans="1:33">
      <c r="A39" s="553" t="s">
        <v>232</v>
      </c>
      <c r="B39" s="553" t="s">
        <v>233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</row>
    <row r="40" spans="1:33">
      <c r="A40" s="553" t="s">
        <v>234</v>
      </c>
      <c r="B40" s="553" t="s">
        <v>235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</row>
    <row r="41" spans="1:33">
      <c r="A41" s="553" t="s">
        <v>236</v>
      </c>
      <c r="B41" s="553" t="s">
        <v>237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</row>
    <row r="42" spans="1:33">
      <c r="A42" s="553" t="s">
        <v>238</v>
      </c>
      <c r="B42" s="553" t="s">
        <v>239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</row>
    <row r="43" spans="1:33">
      <c r="A43" s="553" t="s">
        <v>240</v>
      </c>
      <c r="B43" s="553" t="s">
        <v>241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</row>
    <row r="44" spans="1:33">
      <c r="A44" s="553" t="s">
        <v>243</v>
      </c>
      <c r="B44" s="553" t="s">
        <v>244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</row>
    <row r="45" spans="1:33">
      <c r="A45" s="553" t="s">
        <v>245</v>
      </c>
      <c r="B45" s="553" t="s">
        <v>246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</row>
    <row r="46" spans="1:33">
      <c r="A46" s="553" t="s">
        <v>247</v>
      </c>
      <c r="B46" s="553" t="s">
        <v>248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</row>
    <row r="47" spans="1:33">
      <c r="A47" s="553" t="s">
        <v>250</v>
      </c>
      <c r="B47" s="553" t="s">
        <v>251</v>
      </c>
      <c r="C47" s="1">
        <v>3667.79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3667.79</v>
      </c>
      <c r="AF47" s="1">
        <v>0</v>
      </c>
      <c r="AG47" s="1">
        <v>0</v>
      </c>
    </row>
    <row r="48" spans="1:33">
      <c r="A48" s="553" t="s">
        <v>253</v>
      </c>
      <c r="B48" s="553" t="s">
        <v>254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</row>
    <row r="49" spans="1:33">
      <c r="A49" s="553" t="s">
        <v>255</v>
      </c>
      <c r="B49" s="553" t="s">
        <v>256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</row>
    <row r="50" spans="1:33">
      <c r="A50" s="553" t="s">
        <v>257</v>
      </c>
      <c r="B50" s="553" t="s">
        <v>258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</row>
    <row r="51" spans="1:33">
      <c r="A51" s="553" t="s">
        <v>259</v>
      </c>
      <c r="B51" s="553" t="s">
        <v>260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</row>
    <row r="52" spans="1:33">
      <c r="A52" s="553" t="s">
        <v>261</v>
      </c>
      <c r="B52" s="553" t="s">
        <v>262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</row>
    <row r="53" spans="1:33">
      <c r="A53" s="553" t="s">
        <v>263</v>
      </c>
      <c r="B53" s="553" t="s">
        <v>264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</row>
    <row r="54" spans="1:33">
      <c r="A54" s="553" t="s">
        <v>265</v>
      </c>
      <c r="B54" s="553" t="s">
        <v>266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</row>
    <row r="55" spans="1:33">
      <c r="A55" s="553" t="s">
        <v>267</v>
      </c>
      <c r="B55" s="553" t="s">
        <v>268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</row>
    <row r="56" spans="1:33">
      <c r="A56" s="553" t="s">
        <v>269</v>
      </c>
      <c r="B56" s="553" t="s">
        <v>270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</row>
    <row r="57" spans="1:33">
      <c r="A57" s="553" t="s">
        <v>271</v>
      </c>
      <c r="B57" s="553" t="s">
        <v>272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</row>
    <row r="58" spans="1:33">
      <c r="A58" s="553" t="s">
        <v>273</v>
      </c>
      <c r="B58" s="553" t="s">
        <v>274</v>
      </c>
      <c r="C58" s="1">
        <v>3.95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3.95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</row>
    <row r="59" spans="1:33">
      <c r="A59" s="553" t="s">
        <v>275</v>
      </c>
      <c r="B59" s="553" t="s">
        <v>254</v>
      </c>
      <c r="C59" s="1">
        <v>3.95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3.95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</row>
    <row r="60" spans="1:33">
      <c r="A60" s="553" t="s">
        <v>277</v>
      </c>
      <c r="B60" s="553" t="s">
        <v>278</v>
      </c>
      <c r="C60" s="1">
        <v>3671.74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3.95</v>
      </c>
      <c r="AC60" s="1">
        <v>0</v>
      </c>
      <c r="AD60" s="1">
        <v>0</v>
      </c>
      <c r="AE60" s="1">
        <v>3667.79</v>
      </c>
      <c r="AF60" s="1">
        <v>0</v>
      </c>
      <c r="AG60" s="1">
        <v>0</v>
      </c>
    </row>
    <row r="61" spans="1:33">
      <c r="A61" s="553" t="s">
        <v>280</v>
      </c>
      <c r="B61" s="553" t="s">
        <v>281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</row>
    <row r="62" spans="1:33">
      <c r="A62" s="553" t="s">
        <v>282</v>
      </c>
      <c r="B62" s="553" t="s">
        <v>281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</row>
    <row r="63" spans="1:33">
      <c r="A63" s="553" t="s">
        <v>283</v>
      </c>
      <c r="B63" s="553" t="s">
        <v>284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</row>
    <row r="64" spans="1:33">
      <c r="A64" s="553" t="s">
        <v>285</v>
      </c>
      <c r="B64" s="553" t="s">
        <v>286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</row>
    <row r="65" spans="1:33">
      <c r="A65" s="553" t="s">
        <v>287</v>
      </c>
      <c r="B65" s="553" t="s">
        <v>288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</row>
    <row r="66" spans="1:33">
      <c r="A66" s="553" t="s">
        <v>289</v>
      </c>
      <c r="B66" s="553" t="s">
        <v>1557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</row>
    <row r="67" spans="1:33">
      <c r="A67" s="553" t="s">
        <v>291</v>
      </c>
      <c r="B67" s="553" t="s">
        <v>292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</row>
    <row r="68" spans="1:33">
      <c r="A68" s="553" t="s">
        <v>293</v>
      </c>
      <c r="B68" s="553" t="s">
        <v>294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</row>
    <row r="69" spans="1:33">
      <c r="A69" s="553" t="s">
        <v>295</v>
      </c>
      <c r="B69" s="553" t="s">
        <v>296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</row>
    <row r="70" spans="1:33">
      <c r="A70" s="553" t="s">
        <v>297</v>
      </c>
      <c r="B70" s="553" t="s">
        <v>298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</row>
    <row r="71" spans="1:33">
      <c r="A71" s="553" t="s">
        <v>299</v>
      </c>
      <c r="B71" s="553" t="s">
        <v>300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</row>
    <row r="72" spans="1:33">
      <c r="A72" s="553" t="s">
        <v>301</v>
      </c>
      <c r="B72" s="553" t="s">
        <v>302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</row>
    <row r="73" spans="1:33">
      <c r="A73" s="553" t="s">
        <v>303</v>
      </c>
      <c r="B73" s="553" t="s">
        <v>304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</row>
    <row r="74" spans="1:33">
      <c r="A74" s="553" t="s">
        <v>305</v>
      </c>
      <c r="B74" s="553" t="s">
        <v>306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</row>
    <row r="75" spans="1:33">
      <c r="A75" s="553" t="s">
        <v>307</v>
      </c>
      <c r="B75" s="553" t="s">
        <v>308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</row>
    <row r="76" spans="1:33">
      <c r="A76" s="553" t="s">
        <v>309</v>
      </c>
      <c r="B76" s="553" t="s">
        <v>1558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</row>
    <row r="77" spans="1:33">
      <c r="A77" s="553" t="s">
        <v>311</v>
      </c>
      <c r="B77" s="553" t="s">
        <v>312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</row>
    <row r="78" spans="1:33">
      <c r="A78" s="553" t="s">
        <v>314</v>
      </c>
      <c r="B78" s="553" t="s">
        <v>315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</row>
    <row r="79" spans="1:33">
      <c r="A79" s="553" t="s">
        <v>316</v>
      </c>
      <c r="B79" s="553" t="s">
        <v>317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</row>
    <row r="80" spans="1:33">
      <c r="A80" s="553" t="s">
        <v>318</v>
      </c>
      <c r="B80" s="553" t="s">
        <v>319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</row>
    <row r="81" spans="1:33">
      <c r="A81" s="553" t="s">
        <v>320</v>
      </c>
      <c r="B81" s="553" t="s">
        <v>321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</row>
    <row r="82" spans="1:33">
      <c r="A82" s="553" t="s">
        <v>322</v>
      </c>
      <c r="B82" s="553" t="s">
        <v>323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</row>
    <row r="83" spans="1:33">
      <c r="A83" s="553" t="s">
        <v>324</v>
      </c>
      <c r="B83" s="553" t="s">
        <v>325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</row>
    <row r="84" spans="1:33">
      <c r="A84" s="553" t="s">
        <v>326</v>
      </c>
      <c r="B84" s="553" t="s">
        <v>327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</row>
    <row r="85" spans="1:33">
      <c r="A85" s="553" t="s">
        <v>328</v>
      </c>
      <c r="B85" s="553" t="s">
        <v>329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</row>
    <row r="86" spans="1:33">
      <c r="A86" s="553" t="s">
        <v>331</v>
      </c>
      <c r="B86" s="553" t="s">
        <v>332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</row>
    <row r="87" spans="1:33">
      <c r="A87" s="553" t="s">
        <v>333</v>
      </c>
      <c r="B87" s="553" t="s">
        <v>334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</row>
    <row r="88" spans="1:33">
      <c r="A88" s="553" t="s">
        <v>335</v>
      </c>
      <c r="B88" s="553" t="s">
        <v>336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</row>
    <row r="89" spans="1:33">
      <c r="A89" s="553" t="s">
        <v>337</v>
      </c>
      <c r="B89" s="553" t="s">
        <v>338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</row>
    <row r="90" spans="1:33">
      <c r="A90" s="553" t="s">
        <v>340</v>
      </c>
      <c r="B90" s="553" t="s">
        <v>341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</row>
    <row r="91" spans="1:33">
      <c r="A91" s="553" t="s">
        <v>343</v>
      </c>
      <c r="B91" s="553" t="s">
        <v>344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</row>
    <row r="92" spans="1:33">
      <c r="A92" s="553" t="s">
        <v>345</v>
      </c>
      <c r="B92" s="553" t="s">
        <v>346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</row>
    <row r="93" spans="1:33">
      <c r="A93" s="553" t="s">
        <v>347</v>
      </c>
      <c r="B93" s="553" t="s">
        <v>348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</row>
    <row r="94" spans="1:33">
      <c r="A94" s="553" t="s">
        <v>349</v>
      </c>
      <c r="B94" s="553" t="s">
        <v>350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</row>
    <row r="95" spans="1:33">
      <c r="A95" s="553" t="s">
        <v>351</v>
      </c>
      <c r="B95" s="553" t="s">
        <v>352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</row>
    <row r="96" spans="1:33">
      <c r="A96" s="553" t="s">
        <v>353</v>
      </c>
      <c r="B96" s="553" t="s">
        <v>1527</v>
      </c>
      <c r="C96" s="1">
        <v>32563.35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1667.22</v>
      </c>
      <c r="U96" s="1">
        <v>0</v>
      </c>
      <c r="V96" s="1">
        <v>0</v>
      </c>
      <c r="W96" s="1">
        <v>26021.8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4874.33</v>
      </c>
      <c r="AD96" s="1">
        <v>0</v>
      </c>
      <c r="AE96" s="1">
        <v>0</v>
      </c>
      <c r="AF96" s="1">
        <v>0</v>
      </c>
      <c r="AG96" s="1">
        <v>0</v>
      </c>
    </row>
    <row r="97" spans="1:33">
      <c r="A97" s="553" t="s">
        <v>355</v>
      </c>
      <c r="B97" s="553" t="s">
        <v>1563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</row>
    <row r="98" spans="1:33">
      <c r="A98" s="553" t="s">
        <v>357</v>
      </c>
      <c r="B98" s="553" t="s">
        <v>1564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</row>
    <row r="99" spans="1:33">
      <c r="A99" s="553" t="s">
        <v>359</v>
      </c>
      <c r="B99" s="553" t="s">
        <v>360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</row>
    <row r="100" spans="1:33">
      <c r="A100" s="553" t="s">
        <v>361</v>
      </c>
      <c r="B100" s="553" t="s">
        <v>362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</row>
    <row r="101" spans="1:33">
      <c r="A101" s="553" t="s">
        <v>363</v>
      </c>
      <c r="B101" s="553" t="s">
        <v>364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</row>
    <row r="102" spans="1:33">
      <c r="A102" s="553" t="s">
        <v>365</v>
      </c>
      <c r="B102" s="553" t="s">
        <v>1565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</row>
    <row r="103" spans="1:33">
      <c r="A103" s="553" t="s">
        <v>367</v>
      </c>
      <c r="B103" s="553" t="s">
        <v>368</v>
      </c>
      <c r="C103" s="1">
        <v>32563.35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1667.22</v>
      </c>
      <c r="U103" s="1">
        <v>0</v>
      </c>
      <c r="V103" s="1">
        <v>0</v>
      </c>
      <c r="W103" s="1">
        <v>26021.8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4874.33</v>
      </c>
      <c r="AD103" s="1">
        <v>0</v>
      </c>
      <c r="AE103" s="1">
        <v>0</v>
      </c>
      <c r="AF103" s="1">
        <v>0</v>
      </c>
      <c r="AG103" s="1">
        <v>0</v>
      </c>
    </row>
    <row r="104" spans="1:33">
      <c r="A104" s="553" t="s">
        <v>370</v>
      </c>
      <c r="B104" s="553" t="s">
        <v>371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</row>
    <row r="105" spans="1:33">
      <c r="A105" s="553" t="s">
        <v>372</v>
      </c>
      <c r="B105" s="553" t="s">
        <v>373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</row>
    <row r="106" spans="1:33">
      <c r="A106" s="553" t="s">
        <v>374</v>
      </c>
      <c r="B106" s="553" t="s">
        <v>375</v>
      </c>
      <c r="C106" s="1">
        <v>1379.28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1379.28</v>
      </c>
      <c r="AD106" s="1">
        <v>0</v>
      </c>
      <c r="AE106" s="1">
        <v>0</v>
      </c>
      <c r="AF106" s="1">
        <v>0</v>
      </c>
      <c r="AG106" s="1">
        <v>0</v>
      </c>
    </row>
    <row r="107" spans="1:33">
      <c r="A107" s="553" t="s">
        <v>376</v>
      </c>
      <c r="B107" s="553" t="s">
        <v>377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</row>
    <row r="108" spans="1:33">
      <c r="A108" s="553" t="s">
        <v>378</v>
      </c>
      <c r="B108" s="553" t="s">
        <v>379</v>
      </c>
      <c r="C108" s="1">
        <v>1379.28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1379.28</v>
      </c>
      <c r="AD108" s="1">
        <v>0</v>
      </c>
      <c r="AE108" s="1">
        <v>0</v>
      </c>
      <c r="AF108" s="1">
        <v>0</v>
      </c>
      <c r="AG108" s="1">
        <v>0</v>
      </c>
    </row>
    <row r="109" spans="1:33">
      <c r="A109" s="553" t="s">
        <v>381</v>
      </c>
      <c r="B109" s="553" t="s">
        <v>382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</row>
    <row r="110" spans="1:33">
      <c r="A110" s="553" t="s">
        <v>383</v>
      </c>
      <c r="B110" s="553" t="s">
        <v>384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</row>
    <row r="111" spans="1:33">
      <c r="A111" s="553" t="s">
        <v>385</v>
      </c>
      <c r="B111" s="553" t="s">
        <v>386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</row>
    <row r="112" spans="1:33">
      <c r="A112" s="553" t="s">
        <v>389</v>
      </c>
      <c r="B112" s="553" t="s">
        <v>390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</row>
    <row r="113" spans="1:33">
      <c r="A113" s="553" t="s">
        <v>391</v>
      </c>
      <c r="B113" s="553" t="s">
        <v>392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</row>
    <row r="114" spans="1:33">
      <c r="A114" s="553" t="s">
        <v>393</v>
      </c>
      <c r="B114" s="553" t="s">
        <v>1566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</row>
    <row r="115" spans="1:33">
      <c r="A115" s="553" t="s">
        <v>395</v>
      </c>
      <c r="B115" s="553" t="s">
        <v>396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</row>
    <row r="116" spans="1:33">
      <c r="A116" s="553" t="s">
        <v>397</v>
      </c>
      <c r="B116" s="553" t="s">
        <v>1568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</row>
    <row r="117" spans="1:33">
      <c r="A117" s="553" t="s">
        <v>399</v>
      </c>
      <c r="B117" s="553" t="s">
        <v>400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</row>
    <row r="118" spans="1:33">
      <c r="A118" s="553" t="s">
        <v>401</v>
      </c>
      <c r="B118" s="553" t="s">
        <v>402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</row>
    <row r="119" spans="1:33">
      <c r="A119" s="553" t="s">
        <v>403</v>
      </c>
      <c r="B119" s="553" t="s">
        <v>2023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</row>
    <row r="120" spans="1:33">
      <c r="A120" s="553" t="s">
        <v>405</v>
      </c>
      <c r="B120" s="553" t="s">
        <v>1570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</row>
    <row r="121" spans="1:33">
      <c r="A121" s="553" t="s">
        <v>407</v>
      </c>
      <c r="B121" s="553" t="s">
        <v>220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</row>
    <row r="122" spans="1:33">
      <c r="A122" s="553" t="s">
        <v>1571</v>
      </c>
      <c r="B122" s="553" t="s">
        <v>388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</row>
    <row r="123" spans="1:33">
      <c r="A123" s="553" t="s">
        <v>408</v>
      </c>
      <c r="B123" s="553" t="s">
        <v>409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</row>
    <row r="124" spans="1:33">
      <c r="A124" s="553" t="s">
        <v>411</v>
      </c>
      <c r="B124" s="553" t="s">
        <v>412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</row>
    <row r="125" spans="1:33">
      <c r="A125" s="553" t="s">
        <v>413</v>
      </c>
      <c r="B125" s="553" t="s">
        <v>414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</row>
    <row r="126" spans="1:33">
      <c r="A126" s="553" t="s">
        <v>415</v>
      </c>
      <c r="B126" s="553" t="s">
        <v>416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</row>
    <row r="127" spans="1:33">
      <c r="A127" s="553" t="s">
        <v>418</v>
      </c>
      <c r="B127" s="553" t="s">
        <v>419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</row>
    <row r="128" spans="1:33">
      <c r="A128" s="553" t="s">
        <v>420</v>
      </c>
      <c r="B128" s="553" t="s">
        <v>56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</row>
    <row r="129" spans="1:33">
      <c r="A129" s="553" t="s">
        <v>421</v>
      </c>
      <c r="B129" s="553" t="s">
        <v>422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</row>
    <row r="130" spans="1:33">
      <c r="A130" s="553" t="s">
        <v>424</v>
      </c>
      <c r="B130" s="553" t="s">
        <v>425</v>
      </c>
      <c r="C130" s="1">
        <v>1379.28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1379.28</v>
      </c>
      <c r="AD130" s="1">
        <v>0</v>
      </c>
      <c r="AE130" s="1">
        <v>0</v>
      </c>
      <c r="AF130" s="1">
        <v>0</v>
      </c>
      <c r="AG130" s="1">
        <v>0</v>
      </c>
    </row>
    <row r="131" spans="1:33">
      <c r="A131" s="553" t="s">
        <v>427</v>
      </c>
      <c r="B131" s="553" t="s">
        <v>428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</row>
    <row r="132" spans="1:33">
      <c r="A132" s="553" t="s">
        <v>430</v>
      </c>
      <c r="B132" s="553" t="s">
        <v>431</v>
      </c>
      <c r="C132" s="1">
        <v>800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800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</row>
    <row r="133" spans="1:33">
      <c r="A133" s="553" t="s">
        <v>439</v>
      </c>
      <c r="B133" s="553" t="s">
        <v>440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</row>
    <row r="134" spans="1:33">
      <c r="A134" s="553" t="s">
        <v>441</v>
      </c>
      <c r="B134" s="553" t="s">
        <v>442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</row>
    <row r="135" spans="1:33">
      <c r="A135" s="553" t="s">
        <v>443</v>
      </c>
      <c r="B135" s="553" t="s">
        <v>1573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</row>
    <row r="136" spans="1:33">
      <c r="A136" s="553" t="s">
        <v>445</v>
      </c>
      <c r="B136" s="553" t="s">
        <v>446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</row>
    <row r="137" spans="1:33">
      <c r="A137" s="553" t="s">
        <v>447</v>
      </c>
      <c r="B137" s="553" t="s">
        <v>448</v>
      </c>
      <c r="C137" s="1">
        <v>181821.25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40111.25</v>
      </c>
      <c r="P137" s="1">
        <v>0</v>
      </c>
      <c r="Q137" s="1">
        <v>0</v>
      </c>
      <c r="R137" s="1">
        <v>29435</v>
      </c>
      <c r="S137" s="1">
        <v>1251.25</v>
      </c>
      <c r="T137" s="1">
        <v>0</v>
      </c>
      <c r="U137" s="1">
        <v>60712.5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19061.25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31250</v>
      </c>
    </row>
    <row r="138" spans="1:33">
      <c r="A138" s="553" t="s">
        <v>449</v>
      </c>
      <c r="B138" s="553" t="s">
        <v>450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</row>
    <row r="139" spans="1:33">
      <c r="A139" s="553" t="s">
        <v>451</v>
      </c>
      <c r="B139" s="553" t="s">
        <v>452</v>
      </c>
      <c r="C139" s="1">
        <v>76949.69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21588.2</v>
      </c>
      <c r="P139" s="1">
        <v>0</v>
      </c>
      <c r="Q139" s="1">
        <v>0</v>
      </c>
      <c r="R139" s="1">
        <v>10782.57</v>
      </c>
      <c r="S139" s="1">
        <v>0</v>
      </c>
      <c r="T139" s="1">
        <v>0</v>
      </c>
      <c r="U139" s="1">
        <v>33796.35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10782.57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</row>
    <row r="140" spans="1:33">
      <c r="A140" s="553" t="s">
        <v>453</v>
      </c>
      <c r="B140" s="553" t="s">
        <v>454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</row>
    <row r="141" spans="1:33">
      <c r="A141" s="553" t="s">
        <v>455</v>
      </c>
      <c r="B141" s="553" t="s">
        <v>456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</row>
    <row r="142" spans="1:33">
      <c r="A142" s="553" t="s">
        <v>457</v>
      </c>
      <c r="B142" s="553" t="s">
        <v>1575</v>
      </c>
      <c r="C142" s="1">
        <v>10901.15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10901.15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</row>
    <row r="143" spans="1:33">
      <c r="A143" s="553" t="s">
        <v>459</v>
      </c>
      <c r="B143" s="553" t="s">
        <v>1576</v>
      </c>
      <c r="C143" s="1">
        <v>5812.9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5812.9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</row>
    <row r="144" spans="1:33">
      <c r="A144" s="553" t="s">
        <v>461</v>
      </c>
      <c r="B144" s="553" t="s">
        <v>462</v>
      </c>
      <c r="C144" s="1">
        <v>276284.99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67512.350000000006</v>
      </c>
      <c r="P144" s="1">
        <v>0</v>
      </c>
      <c r="Q144" s="1">
        <v>0</v>
      </c>
      <c r="R144" s="1">
        <v>40217.57</v>
      </c>
      <c r="S144" s="1">
        <v>2051.25</v>
      </c>
      <c r="T144" s="1">
        <v>0</v>
      </c>
      <c r="U144" s="1">
        <v>105410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29843.82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31250</v>
      </c>
    </row>
    <row r="145" spans="1:33">
      <c r="A145" s="553" t="s">
        <v>464</v>
      </c>
      <c r="B145" s="553" t="s">
        <v>465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</row>
    <row r="146" spans="1:33">
      <c r="A146" s="553" t="s">
        <v>466</v>
      </c>
      <c r="B146" s="553" t="s">
        <v>467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</row>
    <row r="147" spans="1:33">
      <c r="A147" s="553" t="s">
        <v>468</v>
      </c>
      <c r="B147" s="553" t="s">
        <v>469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</row>
    <row r="148" spans="1:33">
      <c r="A148" s="553" t="s">
        <v>470</v>
      </c>
      <c r="B148" s="553" t="s">
        <v>155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</row>
    <row r="149" spans="1:33">
      <c r="A149" s="553" t="s">
        <v>471</v>
      </c>
      <c r="B149" s="553" t="s">
        <v>472</v>
      </c>
      <c r="C149" s="1">
        <v>-500942.66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-201300.66</v>
      </c>
      <c r="Y149" s="1">
        <v>0</v>
      </c>
      <c r="Z149" s="1">
        <v>0</v>
      </c>
      <c r="AA149" s="1">
        <v>0</v>
      </c>
      <c r="AB149" s="1">
        <v>-299642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</row>
    <row r="150" spans="1:33">
      <c r="A150" s="553" t="s">
        <v>473</v>
      </c>
      <c r="B150" s="553" t="s">
        <v>474</v>
      </c>
      <c r="C150" s="1">
        <v>-215636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-46080</v>
      </c>
      <c r="Y150" s="1">
        <v>0</v>
      </c>
      <c r="Z150" s="1">
        <v>0</v>
      </c>
      <c r="AA150" s="1">
        <v>0</v>
      </c>
      <c r="AB150" s="1">
        <v>-169556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</row>
    <row r="151" spans="1:33">
      <c r="A151" s="553" t="s">
        <v>478</v>
      </c>
      <c r="B151" s="553" t="s">
        <v>479</v>
      </c>
      <c r="C151" s="1">
        <v>27051.040000000001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10644.79</v>
      </c>
      <c r="Y151" s="1">
        <v>0</v>
      </c>
      <c r="Z151" s="1">
        <v>0</v>
      </c>
      <c r="AA151" s="1">
        <v>0</v>
      </c>
      <c r="AB151" s="1">
        <v>16406.25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</row>
    <row r="152" spans="1:33">
      <c r="A152" s="553" t="s">
        <v>480</v>
      </c>
      <c r="B152" s="553" t="s">
        <v>481</v>
      </c>
      <c r="C152" s="1">
        <v>-107361.05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-19340</v>
      </c>
      <c r="Y152" s="1">
        <v>0</v>
      </c>
      <c r="Z152" s="1">
        <v>0</v>
      </c>
      <c r="AA152" s="1">
        <v>0</v>
      </c>
      <c r="AB152" s="1">
        <v>-136690.1</v>
      </c>
      <c r="AC152" s="1">
        <v>0</v>
      </c>
      <c r="AD152" s="1">
        <v>0</v>
      </c>
      <c r="AE152" s="1">
        <v>0</v>
      </c>
      <c r="AF152" s="1">
        <v>48669.05</v>
      </c>
      <c r="AG152" s="1">
        <v>0</v>
      </c>
    </row>
    <row r="153" spans="1:33">
      <c r="A153" s="553" t="s">
        <v>482</v>
      </c>
      <c r="B153" s="553" t="s">
        <v>278</v>
      </c>
      <c r="C153" s="1">
        <v>-796888.67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-256075.87</v>
      </c>
      <c r="Y153" s="1">
        <v>0</v>
      </c>
      <c r="Z153" s="1">
        <v>0</v>
      </c>
      <c r="AA153" s="1">
        <v>0</v>
      </c>
      <c r="AB153" s="1">
        <v>-589481.85</v>
      </c>
      <c r="AC153" s="1">
        <v>0</v>
      </c>
      <c r="AD153" s="1">
        <v>0</v>
      </c>
      <c r="AE153" s="1">
        <v>0</v>
      </c>
      <c r="AF153" s="1">
        <v>48669.05</v>
      </c>
      <c r="AG153" s="1">
        <v>0</v>
      </c>
    </row>
    <row r="154" spans="1:33">
      <c r="A154" s="553" t="s">
        <v>484</v>
      </c>
      <c r="B154" s="553" t="s">
        <v>485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</row>
    <row r="155" spans="1:33">
      <c r="A155" s="553" t="s">
        <v>486</v>
      </c>
      <c r="B155" s="553" t="s">
        <v>487</v>
      </c>
      <c r="C155" s="1">
        <v>23427.4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9839.4699999999993</v>
      </c>
      <c r="Y155" s="1">
        <v>0</v>
      </c>
      <c r="Z155" s="1">
        <v>0</v>
      </c>
      <c r="AA155" s="1">
        <v>0</v>
      </c>
      <c r="AB155" s="1">
        <v>13587.93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</row>
    <row r="156" spans="1:33">
      <c r="A156" s="553" t="s">
        <v>488</v>
      </c>
      <c r="B156" s="553" t="s">
        <v>489</v>
      </c>
      <c r="C156" s="1">
        <v>131034.62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117431.8</v>
      </c>
      <c r="Y156" s="1">
        <v>0</v>
      </c>
      <c r="Z156" s="1">
        <v>0</v>
      </c>
      <c r="AA156" s="1">
        <v>0</v>
      </c>
      <c r="AB156" s="1">
        <v>13602.82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</row>
    <row r="157" spans="1:33">
      <c r="A157" s="553" t="s">
        <v>490</v>
      </c>
      <c r="B157" s="553" t="s">
        <v>491</v>
      </c>
      <c r="C157" s="1">
        <v>8253.98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6174.09</v>
      </c>
      <c r="Y157" s="1">
        <v>0</v>
      </c>
      <c r="Z157" s="1">
        <v>0</v>
      </c>
      <c r="AA157" s="1">
        <v>0</v>
      </c>
      <c r="AB157" s="1">
        <v>2079.89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</row>
    <row r="158" spans="1:33">
      <c r="A158" s="553" t="s">
        <v>492</v>
      </c>
      <c r="B158" s="553" t="s">
        <v>493</v>
      </c>
      <c r="C158" s="1">
        <v>-1947.92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-1947.92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</row>
    <row r="159" spans="1:33">
      <c r="A159" s="553" t="s">
        <v>494</v>
      </c>
      <c r="B159" s="553" t="s">
        <v>495</v>
      </c>
      <c r="C159" s="1">
        <v>49612.29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14770.27</v>
      </c>
      <c r="Y159" s="1">
        <v>0</v>
      </c>
      <c r="Z159" s="1">
        <v>0</v>
      </c>
      <c r="AA159" s="1">
        <v>0</v>
      </c>
      <c r="AB159" s="1">
        <v>34842.019999999997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</row>
    <row r="160" spans="1:33">
      <c r="A160" s="553" t="s">
        <v>496</v>
      </c>
      <c r="B160" s="553" t="s">
        <v>497</v>
      </c>
      <c r="C160" s="1">
        <v>231163.09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74690.75</v>
      </c>
      <c r="Y160" s="1">
        <v>0</v>
      </c>
      <c r="Z160" s="1">
        <v>0</v>
      </c>
      <c r="AA160" s="1">
        <v>0</v>
      </c>
      <c r="AB160" s="1">
        <v>155079.54</v>
      </c>
      <c r="AC160" s="1">
        <v>0</v>
      </c>
      <c r="AD160" s="1">
        <v>0</v>
      </c>
      <c r="AE160" s="1">
        <v>0</v>
      </c>
      <c r="AF160" s="1">
        <v>1392.8</v>
      </c>
      <c r="AG160" s="1">
        <v>0</v>
      </c>
    </row>
    <row r="161" spans="1:33">
      <c r="A161" s="553" t="s">
        <v>1578</v>
      </c>
      <c r="B161" s="553" t="s">
        <v>1579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</row>
    <row r="162" spans="1:33">
      <c r="A162" s="553" t="s">
        <v>498</v>
      </c>
      <c r="B162" s="553" t="s">
        <v>499</v>
      </c>
      <c r="C162" s="1">
        <v>-17645.32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-16819.2</v>
      </c>
      <c r="AC162" s="1">
        <v>0</v>
      </c>
      <c r="AD162" s="1">
        <v>0</v>
      </c>
      <c r="AE162" s="1">
        <v>0</v>
      </c>
      <c r="AF162" s="1">
        <v>-826.12</v>
      </c>
      <c r="AG162" s="1">
        <v>0</v>
      </c>
    </row>
    <row r="163" spans="1:33">
      <c r="A163" s="553" t="s">
        <v>500</v>
      </c>
      <c r="B163" s="553" t="s">
        <v>501</v>
      </c>
      <c r="C163" s="1">
        <v>10322.5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10322.5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</row>
    <row r="164" spans="1:33">
      <c r="A164" s="553" t="s">
        <v>502</v>
      </c>
      <c r="B164" s="553" t="s">
        <v>503</v>
      </c>
      <c r="C164" s="1">
        <v>434220.64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220958.46</v>
      </c>
      <c r="Y164" s="1">
        <v>0</v>
      </c>
      <c r="Z164" s="1">
        <v>0</v>
      </c>
      <c r="AA164" s="1">
        <v>0</v>
      </c>
      <c r="AB164" s="1">
        <v>212695.5</v>
      </c>
      <c r="AC164" s="1">
        <v>0</v>
      </c>
      <c r="AD164" s="1">
        <v>0</v>
      </c>
      <c r="AE164" s="1">
        <v>0</v>
      </c>
      <c r="AF164" s="1">
        <v>566.67999999999995</v>
      </c>
      <c r="AG164" s="1">
        <v>0</v>
      </c>
    </row>
    <row r="165" spans="1:33">
      <c r="A165" s="553" t="s">
        <v>505</v>
      </c>
      <c r="B165" s="553" t="s">
        <v>284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</row>
    <row r="166" spans="1:33">
      <c r="A166" s="553" t="s">
        <v>506</v>
      </c>
      <c r="B166" s="553" t="s">
        <v>507</v>
      </c>
      <c r="C166" s="1">
        <v>528626.28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66783.429999999993</v>
      </c>
      <c r="Y166" s="1">
        <v>0</v>
      </c>
      <c r="Z166" s="1">
        <v>0</v>
      </c>
      <c r="AA166" s="1">
        <v>0</v>
      </c>
      <c r="AB166" s="1">
        <v>461842.85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</row>
    <row r="167" spans="1:33">
      <c r="A167" s="553" t="s">
        <v>508</v>
      </c>
      <c r="B167" s="553" t="s">
        <v>300</v>
      </c>
      <c r="C167" s="1">
        <v>25554.92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16390.55</v>
      </c>
      <c r="Y167" s="1">
        <v>0</v>
      </c>
      <c r="Z167" s="1">
        <v>0</v>
      </c>
      <c r="AA167" s="1">
        <v>0</v>
      </c>
      <c r="AB167" s="1">
        <v>9164.3700000000008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</row>
    <row r="168" spans="1:33">
      <c r="A168" s="553" t="s">
        <v>509</v>
      </c>
      <c r="B168" s="553" t="s">
        <v>294</v>
      </c>
      <c r="C168" s="1">
        <v>-1171.83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-1171.83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</row>
    <row r="169" spans="1:33">
      <c r="A169" s="553" t="s">
        <v>510</v>
      </c>
      <c r="B169" s="553" t="s">
        <v>511</v>
      </c>
      <c r="C169" s="1">
        <v>31427.4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2628.75</v>
      </c>
      <c r="Y169" s="1">
        <v>0</v>
      </c>
      <c r="Z169" s="1">
        <v>0</v>
      </c>
      <c r="AA169" s="1">
        <v>0</v>
      </c>
      <c r="AB169" s="1">
        <v>28798.65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</row>
    <row r="170" spans="1:33">
      <c r="A170" s="553" t="s">
        <v>512</v>
      </c>
      <c r="B170" s="553" t="s">
        <v>513</v>
      </c>
      <c r="C170" s="1">
        <v>57943.51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6483.31</v>
      </c>
      <c r="Y170" s="1">
        <v>0</v>
      </c>
      <c r="Z170" s="1">
        <v>0</v>
      </c>
      <c r="AA170" s="1">
        <v>0</v>
      </c>
      <c r="AB170" s="1">
        <v>51460.2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</row>
    <row r="171" spans="1:33">
      <c r="A171" s="553" t="s">
        <v>514</v>
      </c>
      <c r="B171" s="553" t="s">
        <v>515</v>
      </c>
      <c r="C171" s="1">
        <v>15618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-22192.25</v>
      </c>
      <c r="Y171" s="1">
        <v>0</v>
      </c>
      <c r="Z171" s="1">
        <v>0</v>
      </c>
      <c r="AA171" s="1">
        <v>0</v>
      </c>
      <c r="AB171" s="1">
        <v>37810.25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</row>
    <row r="172" spans="1:33">
      <c r="A172" s="553" t="s">
        <v>516</v>
      </c>
      <c r="B172" s="553" t="s">
        <v>306</v>
      </c>
      <c r="C172" s="1">
        <v>6437.58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2272.08</v>
      </c>
      <c r="Y172" s="1">
        <v>0</v>
      </c>
      <c r="Z172" s="1">
        <v>0</v>
      </c>
      <c r="AA172" s="1">
        <v>0</v>
      </c>
      <c r="AB172" s="1">
        <v>4165.5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</row>
    <row r="173" spans="1:33">
      <c r="A173" s="553" t="s">
        <v>517</v>
      </c>
      <c r="B173" s="553" t="s">
        <v>317</v>
      </c>
      <c r="C173" s="1">
        <v>11113.52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11113.52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</row>
    <row r="174" spans="1:33">
      <c r="A174" s="553" t="s">
        <v>518</v>
      </c>
      <c r="B174" s="553" t="s">
        <v>519</v>
      </c>
      <c r="C174" s="1">
        <v>51323.71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4034.35</v>
      </c>
      <c r="Y174" s="1">
        <v>0</v>
      </c>
      <c r="Z174" s="1">
        <v>0</v>
      </c>
      <c r="AA174" s="1">
        <v>0</v>
      </c>
      <c r="AB174" s="1">
        <v>45326.51</v>
      </c>
      <c r="AC174" s="1">
        <v>0</v>
      </c>
      <c r="AD174" s="1">
        <v>0</v>
      </c>
      <c r="AE174" s="1">
        <v>0</v>
      </c>
      <c r="AF174" s="1">
        <v>1962.85</v>
      </c>
      <c r="AG174" s="1">
        <v>0</v>
      </c>
    </row>
    <row r="175" spans="1:33">
      <c r="A175" s="553" t="s">
        <v>520</v>
      </c>
      <c r="B175" s="553" t="s">
        <v>1558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</row>
    <row r="176" spans="1:33">
      <c r="A176" s="553" t="s">
        <v>522</v>
      </c>
      <c r="B176" s="553" t="s">
        <v>216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</row>
    <row r="177" spans="1:33">
      <c r="A177" s="553" t="s">
        <v>523</v>
      </c>
      <c r="B177" s="553" t="s">
        <v>524</v>
      </c>
      <c r="C177" s="1">
        <v>-2500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-250</v>
      </c>
      <c r="Y177" s="1">
        <v>0</v>
      </c>
      <c r="Z177" s="1">
        <v>0</v>
      </c>
      <c r="AA177" s="1">
        <v>0</v>
      </c>
      <c r="AB177" s="1">
        <v>-2250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</row>
    <row r="178" spans="1:33">
      <c r="A178" s="553" t="s">
        <v>525</v>
      </c>
      <c r="B178" s="553" t="s">
        <v>526</v>
      </c>
      <c r="C178" s="1">
        <v>-12437.5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15553.12</v>
      </c>
      <c r="Y178" s="1">
        <v>0</v>
      </c>
      <c r="Z178" s="1">
        <v>0</v>
      </c>
      <c r="AA178" s="1">
        <v>0</v>
      </c>
      <c r="AB178" s="1">
        <v>-27990.62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</row>
    <row r="179" spans="1:33">
      <c r="A179" s="553" t="s">
        <v>527</v>
      </c>
      <c r="B179" s="553" t="s">
        <v>341</v>
      </c>
      <c r="C179" s="1">
        <v>711935.59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91703.34</v>
      </c>
      <c r="Y179" s="1">
        <v>0</v>
      </c>
      <c r="Z179" s="1">
        <v>0</v>
      </c>
      <c r="AA179" s="1">
        <v>0</v>
      </c>
      <c r="AB179" s="1">
        <v>618269.4</v>
      </c>
      <c r="AC179" s="1">
        <v>0</v>
      </c>
      <c r="AD179" s="1">
        <v>0</v>
      </c>
      <c r="AE179" s="1">
        <v>0</v>
      </c>
      <c r="AF179" s="1">
        <v>1962.85</v>
      </c>
      <c r="AG179" s="1">
        <v>0</v>
      </c>
    </row>
    <row r="180" spans="1:33">
      <c r="A180" s="553" t="s">
        <v>529</v>
      </c>
      <c r="B180" s="553" t="s">
        <v>530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</row>
    <row r="181" spans="1:33">
      <c r="A181" s="553" t="s">
        <v>531</v>
      </c>
      <c r="B181" s="553" t="s">
        <v>532</v>
      </c>
      <c r="C181" s="1">
        <v>5143.97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324.33</v>
      </c>
      <c r="Y181" s="1">
        <v>0</v>
      </c>
      <c r="Z181" s="1">
        <v>0</v>
      </c>
      <c r="AA181" s="1">
        <v>0</v>
      </c>
      <c r="AB181" s="1">
        <v>4819.6400000000003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</row>
    <row r="182" spans="1:33">
      <c r="A182" s="553" t="s">
        <v>533</v>
      </c>
      <c r="B182" s="553" t="s">
        <v>534</v>
      </c>
      <c r="C182" s="1">
        <v>3966.2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3966.2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</row>
    <row r="183" spans="1:33">
      <c r="A183" s="553" t="s">
        <v>535</v>
      </c>
      <c r="B183" s="553" t="s">
        <v>536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</row>
    <row r="184" spans="1:33">
      <c r="A184" s="553" t="s">
        <v>537</v>
      </c>
      <c r="B184" s="553" t="s">
        <v>538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</row>
    <row r="185" spans="1:33">
      <c r="A185" s="553" t="s">
        <v>539</v>
      </c>
      <c r="B185" s="553" t="s">
        <v>540</v>
      </c>
      <c r="C185" s="1">
        <v>294623.73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107573.58</v>
      </c>
      <c r="Y185" s="1">
        <v>0</v>
      </c>
      <c r="Z185" s="1">
        <v>0</v>
      </c>
      <c r="AA185" s="1">
        <v>0</v>
      </c>
      <c r="AB185" s="1">
        <v>187050.15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</row>
    <row r="186" spans="1:33">
      <c r="A186" s="553" t="s">
        <v>541</v>
      </c>
      <c r="B186" s="553" t="s">
        <v>542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</row>
    <row r="187" spans="1:33">
      <c r="A187" s="553" t="s">
        <v>543</v>
      </c>
      <c r="B187" s="553" t="s">
        <v>544</v>
      </c>
      <c r="C187" s="1">
        <v>5433.5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1583.5</v>
      </c>
      <c r="Y187" s="1">
        <v>0</v>
      </c>
      <c r="Z187" s="1">
        <v>0</v>
      </c>
      <c r="AA187" s="1">
        <v>0</v>
      </c>
      <c r="AB187" s="1">
        <v>3850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</row>
    <row r="188" spans="1:33">
      <c r="A188" s="553" t="s">
        <v>545</v>
      </c>
      <c r="B188" s="553" t="s">
        <v>546</v>
      </c>
      <c r="C188" s="1">
        <v>10562.5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10562.5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</row>
    <row r="189" spans="1:33">
      <c r="A189" s="553" t="s">
        <v>547</v>
      </c>
      <c r="B189" s="553" t="s">
        <v>548</v>
      </c>
      <c r="C189" s="1">
        <v>319729.90000000002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109481.41</v>
      </c>
      <c r="Y189" s="1">
        <v>0</v>
      </c>
      <c r="Z189" s="1">
        <v>0</v>
      </c>
      <c r="AA189" s="1">
        <v>0</v>
      </c>
      <c r="AB189" s="1">
        <v>210248.49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</row>
    <row r="190" spans="1:33">
      <c r="A190" s="553" t="s">
        <v>550</v>
      </c>
      <c r="B190" s="553" t="s">
        <v>551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</row>
    <row r="191" spans="1:33">
      <c r="A191" s="553" t="s">
        <v>552</v>
      </c>
      <c r="B191" s="553" t="s">
        <v>553</v>
      </c>
      <c r="C191" s="1">
        <v>58951.25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58951.25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</row>
    <row r="192" spans="1:33">
      <c r="A192" s="553" t="s">
        <v>554</v>
      </c>
      <c r="B192" s="553" t="s">
        <v>555</v>
      </c>
      <c r="C192" s="1">
        <v>47256.12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33008.019999999997</v>
      </c>
      <c r="Y192" s="1">
        <v>0</v>
      </c>
      <c r="Z192" s="1">
        <v>0</v>
      </c>
      <c r="AA192" s="1">
        <v>0</v>
      </c>
      <c r="AB192" s="1">
        <v>14248.1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</row>
    <row r="193" spans="1:33">
      <c r="A193" s="553" t="s">
        <v>556</v>
      </c>
      <c r="B193" s="553" t="s">
        <v>1580</v>
      </c>
      <c r="C193" s="1">
        <v>267492.42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107921.46</v>
      </c>
      <c r="Y193" s="1">
        <v>0</v>
      </c>
      <c r="Z193" s="1">
        <v>0</v>
      </c>
      <c r="AA193" s="1">
        <v>0</v>
      </c>
      <c r="AB193" s="1">
        <v>159570.96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</row>
    <row r="194" spans="1:33">
      <c r="A194" s="553" t="s">
        <v>558</v>
      </c>
      <c r="B194" s="553" t="s">
        <v>559</v>
      </c>
      <c r="C194" s="1">
        <v>16573.03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5293.03</v>
      </c>
      <c r="Y194" s="1">
        <v>0</v>
      </c>
      <c r="Z194" s="1">
        <v>0</v>
      </c>
      <c r="AA194" s="1">
        <v>0</v>
      </c>
      <c r="AB194" s="1">
        <v>11280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</row>
    <row r="195" spans="1:33">
      <c r="A195" s="553" t="s">
        <v>560</v>
      </c>
      <c r="B195" s="553" t="s">
        <v>561</v>
      </c>
      <c r="C195" s="1">
        <v>10863.69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8290</v>
      </c>
      <c r="Y195" s="1">
        <v>0</v>
      </c>
      <c r="Z195" s="1">
        <v>0</v>
      </c>
      <c r="AA195" s="1">
        <v>0</v>
      </c>
      <c r="AB195" s="1">
        <v>2573.69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</row>
    <row r="196" spans="1:33">
      <c r="A196" s="553" t="s">
        <v>562</v>
      </c>
      <c r="B196" s="553" t="s">
        <v>563</v>
      </c>
      <c r="C196" s="1">
        <v>42830.12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42830.12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</row>
    <row r="197" spans="1:33">
      <c r="A197" s="553" t="s">
        <v>564</v>
      </c>
      <c r="B197" s="553" t="s">
        <v>565</v>
      </c>
      <c r="C197" s="1">
        <v>14000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14000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</row>
    <row r="198" spans="1:33">
      <c r="A198" s="553" t="s">
        <v>1581</v>
      </c>
      <c r="B198" s="553" t="s">
        <v>1582</v>
      </c>
      <c r="C198" s="1">
        <v>22762.71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18688.57</v>
      </c>
      <c r="AC198" s="1">
        <v>0</v>
      </c>
      <c r="AD198" s="1">
        <v>0</v>
      </c>
      <c r="AE198" s="1">
        <v>0</v>
      </c>
      <c r="AF198" s="1">
        <v>4074.14</v>
      </c>
      <c r="AG198" s="1">
        <v>0</v>
      </c>
    </row>
    <row r="199" spans="1:33">
      <c r="A199" s="553" t="s">
        <v>566</v>
      </c>
      <c r="B199" s="553" t="s">
        <v>567</v>
      </c>
      <c r="C199" s="1">
        <v>480729.34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213463.76</v>
      </c>
      <c r="Y199" s="1">
        <v>0</v>
      </c>
      <c r="Z199" s="1">
        <v>0</v>
      </c>
      <c r="AA199" s="1">
        <v>0</v>
      </c>
      <c r="AB199" s="1">
        <v>263191.44</v>
      </c>
      <c r="AC199" s="1">
        <v>0</v>
      </c>
      <c r="AD199" s="1">
        <v>0</v>
      </c>
      <c r="AE199" s="1">
        <v>0</v>
      </c>
      <c r="AF199" s="1">
        <v>4074.14</v>
      </c>
      <c r="AG199" s="1">
        <v>0</v>
      </c>
    </row>
    <row r="200" spans="1:33">
      <c r="A200" s="553" t="s">
        <v>569</v>
      </c>
      <c r="B200" s="553" t="s">
        <v>570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</row>
    <row r="201" spans="1:33">
      <c r="A201" s="553" t="s">
        <v>571</v>
      </c>
      <c r="B201" s="553" t="s">
        <v>572</v>
      </c>
      <c r="C201" s="1">
        <v>8358.2800000000007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8358.2800000000007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</row>
    <row r="202" spans="1:33">
      <c r="A202" s="553" t="s">
        <v>573</v>
      </c>
      <c r="B202" s="553" t="s">
        <v>574</v>
      </c>
      <c r="C202" s="1">
        <v>3000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3000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</row>
    <row r="203" spans="1:33">
      <c r="A203" s="553" t="s">
        <v>575</v>
      </c>
      <c r="B203" s="553" t="s">
        <v>576</v>
      </c>
      <c r="C203" s="1">
        <v>11358.28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3000</v>
      </c>
      <c r="Y203" s="1">
        <v>0</v>
      </c>
      <c r="Z203" s="1">
        <v>0</v>
      </c>
      <c r="AA203" s="1">
        <v>0</v>
      </c>
      <c r="AB203" s="1">
        <v>8358.2800000000007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</row>
    <row r="204" spans="1:33">
      <c r="A204" s="553" t="s">
        <v>578</v>
      </c>
      <c r="B204" s="553" t="s">
        <v>579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</row>
    <row r="205" spans="1:33">
      <c r="A205" s="553" t="s">
        <v>580</v>
      </c>
      <c r="B205" s="553" t="s">
        <v>581</v>
      </c>
      <c r="C205" s="1">
        <v>23729.3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23729.3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</row>
    <row r="206" spans="1:33">
      <c r="A206" s="553" t="s">
        <v>582</v>
      </c>
      <c r="B206" s="553" t="s">
        <v>583</v>
      </c>
      <c r="C206" s="1">
        <v>40110.54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40110.54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</row>
    <row r="207" spans="1:33">
      <c r="A207" s="553" t="s">
        <v>584</v>
      </c>
      <c r="B207" s="553" t="s">
        <v>585</v>
      </c>
      <c r="C207" s="1">
        <v>-11532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-11532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</row>
    <row r="208" spans="1:33">
      <c r="A208" s="553" t="s">
        <v>586</v>
      </c>
      <c r="B208" s="553" t="s">
        <v>587</v>
      </c>
      <c r="C208" s="1">
        <v>47672.5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47672.5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</row>
    <row r="209" spans="1:33">
      <c r="A209" s="553" t="s">
        <v>588</v>
      </c>
      <c r="B209" s="553" t="s">
        <v>1583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</row>
    <row r="210" spans="1:33">
      <c r="A210" s="553" t="s">
        <v>590</v>
      </c>
      <c r="B210" s="553" t="s">
        <v>591</v>
      </c>
      <c r="C210" s="1">
        <v>4879.3999999999996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4879.3999999999996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</row>
    <row r="211" spans="1:33">
      <c r="A211" s="553" t="s">
        <v>592</v>
      </c>
      <c r="B211" s="553" t="s">
        <v>593</v>
      </c>
      <c r="C211" s="1">
        <v>2238.4299999999998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2238.4299999999998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</row>
    <row r="212" spans="1:33">
      <c r="A212" s="553" t="s">
        <v>594</v>
      </c>
      <c r="B212" s="553" t="s">
        <v>595</v>
      </c>
      <c r="C212" s="1">
        <v>107098.17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59425.67</v>
      </c>
      <c r="Y212" s="1">
        <v>0</v>
      </c>
      <c r="Z212" s="1">
        <v>0</v>
      </c>
      <c r="AA212" s="1">
        <v>0</v>
      </c>
      <c r="AB212" s="1">
        <v>47672.5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</row>
    <row r="213" spans="1:33">
      <c r="A213" s="553" t="s">
        <v>597</v>
      </c>
      <c r="B213" s="553" t="s">
        <v>595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</row>
    <row r="214" spans="1:33">
      <c r="A214" s="553" t="s">
        <v>599</v>
      </c>
      <c r="B214" s="553" t="s">
        <v>600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</row>
    <row r="215" spans="1:33">
      <c r="A215" s="553" t="s">
        <v>601</v>
      </c>
      <c r="B215" s="553" t="s">
        <v>602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</row>
    <row r="216" spans="1:33">
      <c r="A216" s="553" t="s">
        <v>603</v>
      </c>
      <c r="B216" s="553" t="s">
        <v>604</v>
      </c>
      <c r="C216" s="1">
        <v>-2113.73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-2113.73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</row>
    <row r="217" spans="1:33">
      <c r="A217" s="553" t="s">
        <v>605</v>
      </c>
      <c r="B217" s="553" t="s">
        <v>606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</row>
    <row r="218" spans="1:33">
      <c r="A218" s="553" t="s">
        <v>607</v>
      </c>
      <c r="B218" s="553" t="s">
        <v>608</v>
      </c>
      <c r="C218" s="1">
        <v>19295.689999999999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19295.689999999999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</row>
    <row r="219" spans="1:33">
      <c r="A219" s="553" t="s">
        <v>609</v>
      </c>
      <c r="B219" s="553" t="s">
        <v>610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</row>
    <row r="220" spans="1:33">
      <c r="A220" s="553" t="s">
        <v>611</v>
      </c>
      <c r="B220" s="553" t="s">
        <v>612</v>
      </c>
      <c r="C220" s="1">
        <v>707.26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707.26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</row>
    <row r="221" spans="1:33">
      <c r="A221" s="553" t="s">
        <v>613</v>
      </c>
      <c r="B221" s="553" t="s">
        <v>614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</row>
    <row r="222" spans="1:33">
      <c r="A222" s="553" t="s">
        <v>615</v>
      </c>
      <c r="B222" s="553" t="s">
        <v>616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</row>
    <row r="223" spans="1:33">
      <c r="A223" s="553" t="s">
        <v>617</v>
      </c>
      <c r="B223" s="553" t="s">
        <v>618</v>
      </c>
      <c r="C223" s="1">
        <v>17889.22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17889.22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</row>
    <row r="224" spans="1:33">
      <c r="A224" s="553" t="s">
        <v>620</v>
      </c>
      <c r="B224" s="553" t="s">
        <v>621</v>
      </c>
      <c r="C224" s="1">
        <v>1286072.47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441956.77</v>
      </c>
      <c r="Y224" s="1">
        <v>0</v>
      </c>
      <c r="Z224" s="1">
        <v>0</v>
      </c>
      <c r="AA224" s="1">
        <v>0</v>
      </c>
      <c r="AB224" s="1">
        <v>788842.98</v>
      </c>
      <c r="AC224" s="1">
        <v>0</v>
      </c>
      <c r="AD224" s="1">
        <v>0</v>
      </c>
      <c r="AE224" s="1">
        <v>0</v>
      </c>
      <c r="AF224" s="1">
        <v>55272.72</v>
      </c>
      <c r="AG224" s="1">
        <v>0</v>
      </c>
    </row>
    <row r="225" spans="1:33">
      <c r="A225" s="553" t="s">
        <v>623</v>
      </c>
      <c r="B225" s="553" t="s">
        <v>624</v>
      </c>
      <c r="C225" s="1">
        <v>1286072.47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441956.77</v>
      </c>
      <c r="Y225" s="1">
        <v>0</v>
      </c>
      <c r="Z225" s="1">
        <v>0</v>
      </c>
      <c r="AA225" s="1">
        <v>0</v>
      </c>
      <c r="AB225" s="1">
        <v>788842.98</v>
      </c>
      <c r="AC225" s="1">
        <v>0</v>
      </c>
      <c r="AD225" s="1">
        <v>0</v>
      </c>
      <c r="AE225" s="1">
        <v>0</v>
      </c>
      <c r="AF225" s="1">
        <v>55272.72</v>
      </c>
      <c r="AG225" s="1">
        <v>0</v>
      </c>
    </row>
    <row r="226" spans="1:33">
      <c r="A226" s="553" t="s">
        <v>626</v>
      </c>
      <c r="B226" s="553" t="s">
        <v>627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</row>
    <row r="227" spans="1:33">
      <c r="A227" s="553" t="s">
        <v>628</v>
      </c>
      <c r="B227" s="553" t="s">
        <v>629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</row>
    <row r="228" spans="1:33">
      <c r="A228" s="553" t="s">
        <v>630</v>
      </c>
      <c r="B228" s="553" t="s">
        <v>631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</row>
    <row r="229" spans="1:33">
      <c r="A229" s="553" t="s">
        <v>633</v>
      </c>
      <c r="B229" s="553" t="s">
        <v>634</v>
      </c>
      <c r="C229" s="1">
        <v>1286072.47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441956.77</v>
      </c>
      <c r="Y229" s="1">
        <v>0</v>
      </c>
      <c r="Z229" s="1">
        <v>0</v>
      </c>
      <c r="AA229" s="1">
        <v>0</v>
      </c>
      <c r="AB229" s="1">
        <v>788842.98</v>
      </c>
      <c r="AC229" s="1">
        <v>0</v>
      </c>
      <c r="AD229" s="1">
        <v>0</v>
      </c>
      <c r="AE229" s="1">
        <v>0</v>
      </c>
      <c r="AF229" s="1">
        <v>55272.72</v>
      </c>
      <c r="AG229" s="1">
        <v>0</v>
      </c>
    </row>
    <row r="230" spans="1:33">
      <c r="A230" s="553" t="s">
        <v>636</v>
      </c>
      <c r="B230" s="553" t="s">
        <v>637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</row>
    <row r="231" spans="1:33">
      <c r="A231" s="553" t="s">
        <v>638</v>
      </c>
      <c r="B231" s="553" t="s">
        <v>639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</row>
    <row r="232" spans="1:33">
      <c r="A232" s="553" t="s">
        <v>640</v>
      </c>
      <c r="B232" s="553" t="s">
        <v>641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</row>
    <row r="233" spans="1:33">
      <c r="A233" s="553" t="s">
        <v>642</v>
      </c>
      <c r="B233" s="553" t="s">
        <v>643</v>
      </c>
      <c r="C233" s="1">
        <v>-39.4</v>
      </c>
      <c r="D233" s="1">
        <v>0</v>
      </c>
      <c r="E233" s="1">
        <v>0</v>
      </c>
      <c r="F233" s="1">
        <v>0</v>
      </c>
      <c r="G233" s="1">
        <v>-39.4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</row>
    <row r="234" spans="1:33">
      <c r="A234" s="553" t="s">
        <v>644</v>
      </c>
      <c r="B234" s="553" t="s">
        <v>645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</row>
    <row r="235" spans="1:33">
      <c r="A235" s="553" t="s">
        <v>646</v>
      </c>
      <c r="B235" s="553" t="s">
        <v>202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</row>
    <row r="236" spans="1:33">
      <c r="A236" s="553" t="s">
        <v>647</v>
      </c>
      <c r="B236" s="553" t="s">
        <v>648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</row>
    <row r="237" spans="1:33">
      <c r="A237" s="553" t="s">
        <v>649</v>
      </c>
      <c r="B237" s="553" t="s">
        <v>650</v>
      </c>
      <c r="C237" s="1">
        <v>4998.7700000000004</v>
      </c>
      <c r="D237" s="1">
        <v>4303.7700000000004</v>
      </c>
      <c r="E237" s="1">
        <v>695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</row>
    <row r="238" spans="1:33">
      <c r="A238" s="553" t="s">
        <v>651</v>
      </c>
      <c r="B238" s="553" t="s">
        <v>652</v>
      </c>
      <c r="C238" s="1">
        <v>4229.2</v>
      </c>
      <c r="D238" s="1">
        <v>1796.95</v>
      </c>
      <c r="E238" s="1">
        <v>2294.25</v>
      </c>
      <c r="F238" s="1">
        <v>0</v>
      </c>
      <c r="G238" s="1">
        <v>0</v>
      </c>
      <c r="H238" s="1">
        <v>138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</row>
    <row r="239" spans="1:33">
      <c r="A239" s="553" t="s">
        <v>653</v>
      </c>
      <c r="B239" s="553" t="s">
        <v>654</v>
      </c>
      <c r="C239" s="1">
        <v>5140</v>
      </c>
      <c r="D239" s="1">
        <v>0</v>
      </c>
      <c r="E239" s="1">
        <v>5140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</row>
    <row r="240" spans="1:33">
      <c r="A240" s="553" t="s">
        <v>655</v>
      </c>
      <c r="B240" s="553" t="s">
        <v>656</v>
      </c>
      <c r="C240" s="1">
        <v>2525.75</v>
      </c>
      <c r="D240" s="1">
        <v>1262.8800000000001</v>
      </c>
      <c r="E240" s="1">
        <v>1262.8699999999999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</row>
    <row r="241" spans="1:33">
      <c r="A241" s="553" t="s">
        <v>657</v>
      </c>
      <c r="B241" s="553" t="s">
        <v>658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</row>
    <row r="242" spans="1:33">
      <c r="A242" s="553" t="s">
        <v>659</v>
      </c>
      <c r="B242" s="553" t="s">
        <v>660</v>
      </c>
      <c r="C242" s="1">
        <v>35025</v>
      </c>
      <c r="D242" s="1">
        <v>30025</v>
      </c>
      <c r="E242" s="1">
        <v>0</v>
      </c>
      <c r="F242" s="1">
        <v>0</v>
      </c>
      <c r="G242" s="1">
        <v>0</v>
      </c>
      <c r="H242" s="1">
        <v>2500</v>
      </c>
      <c r="I242" s="1">
        <v>2500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</row>
    <row r="243" spans="1:33">
      <c r="A243" s="553" t="s">
        <v>661</v>
      </c>
      <c r="B243" s="553" t="s">
        <v>662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</row>
    <row r="244" spans="1:33">
      <c r="A244" s="553" t="s">
        <v>663</v>
      </c>
      <c r="B244" s="553" t="s">
        <v>664</v>
      </c>
      <c r="C244" s="1">
        <v>36503.53</v>
      </c>
      <c r="D244" s="1">
        <v>19450.18</v>
      </c>
      <c r="E244" s="1">
        <v>17053.349999999999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</row>
    <row r="245" spans="1:33">
      <c r="A245" s="553" t="s">
        <v>665</v>
      </c>
      <c r="B245" s="553" t="s">
        <v>666</v>
      </c>
      <c r="C245" s="1">
        <v>46072.97</v>
      </c>
      <c r="D245" s="1">
        <v>989.14</v>
      </c>
      <c r="E245" s="1">
        <v>0</v>
      </c>
      <c r="F245" s="1">
        <v>5630.3</v>
      </c>
      <c r="G245" s="1">
        <v>16051.02</v>
      </c>
      <c r="H245" s="1">
        <v>23402.51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</row>
    <row r="246" spans="1:33">
      <c r="A246" s="553" t="s">
        <v>667</v>
      </c>
      <c r="B246" s="553" t="s">
        <v>220</v>
      </c>
      <c r="C246" s="1">
        <v>52.1</v>
      </c>
      <c r="D246" s="1">
        <v>52.1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</row>
    <row r="247" spans="1:33">
      <c r="A247" s="553" t="s">
        <v>668</v>
      </c>
      <c r="B247" s="553" t="s">
        <v>669</v>
      </c>
      <c r="C247" s="1">
        <v>8750</v>
      </c>
      <c r="D247" s="1">
        <v>4500</v>
      </c>
      <c r="E247" s="1">
        <v>0</v>
      </c>
      <c r="F247" s="1">
        <v>0</v>
      </c>
      <c r="G247" s="1">
        <v>0</v>
      </c>
      <c r="H247" s="1">
        <v>4250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</row>
    <row r="248" spans="1:33">
      <c r="A248" s="553" t="s">
        <v>670</v>
      </c>
      <c r="B248" s="553" t="s">
        <v>671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</row>
    <row r="249" spans="1:33">
      <c r="A249" s="553" t="s">
        <v>672</v>
      </c>
      <c r="B249" s="553" t="s">
        <v>1586</v>
      </c>
      <c r="C249" s="1">
        <v>143257.92000000001</v>
      </c>
      <c r="D249" s="1">
        <v>62380.02</v>
      </c>
      <c r="E249" s="1">
        <v>26445.47</v>
      </c>
      <c r="F249" s="1">
        <v>5630.3</v>
      </c>
      <c r="G249" s="1">
        <v>16011.62</v>
      </c>
      <c r="H249" s="1">
        <v>30290.51</v>
      </c>
      <c r="I249" s="1">
        <v>2500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</row>
    <row r="250" spans="1:33">
      <c r="A250" s="553" t="s">
        <v>675</v>
      </c>
      <c r="B250" s="553" t="s">
        <v>676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</row>
    <row r="251" spans="1:33">
      <c r="A251" s="553" t="s">
        <v>677</v>
      </c>
      <c r="B251" s="553" t="s">
        <v>678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</row>
    <row r="252" spans="1:33">
      <c r="A252" s="553" t="s">
        <v>679</v>
      </c>
      <c r="B252" s="553" t="s">
        <v>680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</row>
    <row r="253" spans="1:33">
      <c r="A253" s="553" t="s">
        <v>681</v>
      </c>
      <c r="B253" s="553" t="s">
        <v>682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</row>
    <row r="254" spans="1:33">
      <c r="A254" s="553" t="s">
        <v>684</v>
      </c>
      <c r="B254" s="553" t="s">
        <v>685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</row>
    <row r="255" spans="1:33">
      <c r="A255" s="553" t="s">
        <v>686</v>
      </c>
      <c r="B255" s="553" t="s">
        <v>687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</row>
    <row r="256" spans="1:33">
      <c r="A256" s="553" t="s">
        <v>688</v>
      </c>
      <c r="B256" s="553" t="s">
        <v>689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</row>
    <row r="257" spans="1:33">
      <c r="A257" s="553" t="s">
        <v>690</v>
      </c>
      <c r="B257" s="553" t="s">
        <v>691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</row>
    <row r="258" spans="1:33">
      <c r="A258" s="553" t="s">
        <v>692</v>
      </c>
      <c r="B258" s="553" t="s">
        <v>693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</row>
    <row r="259" spans="1:33">
      <c r="A259" s="553" t="s">
        <v>694</v>
      </c>
      <c r="B259" s="553" t="s">
        <v>695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</row>
    <row r="260" spans="1:33">
      <c r="A260" s="553" t="s">
        <v>696</v>
      </c>
      <c r="B260" s="553" t="s">
        <v>697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</row>
    <row r="261" spans="1:33">
      <c r="A261" s="553" t="s">
        <v>699</v>
      </c>
      <c r="B261" s="553" t="s">
        <v>700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</row>
    <row r="262" spans="1:33">
      <c r="A262" s="553" t="s">
        <v>701</v>
      </c>
      <c r="B262" s="553" t="s">
        <v>702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</row>
    <row r="263" spans="1:33">
      <c r="A263" s="553" t="s">
        <v>703</v>
      </c>
      <c r="B263" s="553" t="s">
        <v>704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</row>
    <row r="264" spans="1:33">
      <c r="A264" s="553" t="s">
        <v>705</v>
      </c>
      <c r="B264" s="553" t="s">
        <v>664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</row>
    <row r="265" spans="1:33">
      <c r="A265" s="553" t="s">
        <v>706</v>
      </c>
      <c r="B265" s="553" t="s">
        <v>707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</row>
    <row r="266" spans="1:33">
      <c r="A266" s="553" t="s">
        <v>708</v>
      </c>
      <c r="B266" s="553" t="s">
        <v>709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</row>
    <row r="267" spans="1:33">
      <c r="A267" s="553" t="s">
        <v>710</v>
      </c>
      <c r="B267" s="553" t="s">
        <v>711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</row>
    <row r="268" spans="1:33">
      <c r="A268" s="553" t="s">
        <v>712</v>
      </c>
      <c r="B268" s="553" t="s">
        <v>713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</row>
    <row r="269" spans="1:33">
      <c r="A269" s="553" t="s">
        <v>715</v>
      </c>
      <c r="B269" s="553" t="s">
        <v>716</v>
      </c>
      <c r="C269" s="1">
        <v>143257.92000000001</v>
      </c>
      <c r="D269" s="1">
        <v>62380.02</v>
      </c>
      <c r="E269" s="1">
        <v>26445.47</v>
      </c>
      <c r="F269" s="1">
        <v>5630.3</v>
      </c>
      <c r="G269" s="1">
        <v>16011.62</v>
      </c>
      <c r="H269" s="1">
        <v>30290.51</v>
      </c>
      <c r="I269" s="1">
        <v>2500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</row>
    <row r="270" spans="1:33">
      <c r="A270" s="553" t="s">
        <v>718</v>
      </c>
      <c r="B270" s="553" t="s">
        <v>719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</row>
    <row r="271" spans="1:33">
      <c r="A271" s="553" t="s">
        <v>720</v>
      </c>
      <c r="B271" s="553" t="s">
        <v>721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</row>
    <row r="272" spans="1:33">
      <c r="A272" s="553" t="s">
        <v>722</v>
      </c>
      <c r="B272" s="553" t="s">
        <v>723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</row>
    <row r="273" spans="1:33">
      <c r="A273" s="553" t="s">
        <v>724</v>
      </c>
      <c r="B273" s="553" t="s">
        <v>725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</row>
    <row r="274" spans="1:33">
      <c r="A274" s="553" t="s">
        <v>726</v>
      </c>
      <c r="B274" s="553" t="s">
        <v>727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</row>
    <row r="275" spans="1:33">
      <c r="A275" s="553" t="s">
        <v>728</v>
      </c>
      <c r="B275" s="553" t="s">
        <v>729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</row>
    <row r="276" spans="1:33">
      <c r="A276" s="553" t="s">
        <v>730</v>
      </c>
      <c r="B276" s="553" t="s">
        <v>731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</row>
    <row r="277" spans="1:33">
      <c r="A277" s="553" t="s">
        <v>732</v>
      </c>
      <c r="B277" s="553" t="s">
        <v>733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</row>
    <row r="278" spans="1:33">
      <c r="A278" s="553" t="s">
        <v>734</v>
      </c>
      <c r="B278" s="553" t="s">
        <v>735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</row>
    <row r="279" spans="1:33">
      <c r="A279" s="553" t="s">
        <v>736</v>
      </c>
      <c r="B279" s="553" t="s">
        <v>737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</row>
    <row r="280" spans="1:33">
      <c r="A280" s="553" t="s">
        <v>738</v>
      </c>
      <c r="B280" s="553" t="s">
        <v>739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</row>
    <row r="281" spans="1:33">
      <c r="A281" s="553" t="s">
        <v>740</v>
      </c>
      <c r="B281" s="553" t="s">
        <v>741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</row>
    <row r="282" spans="1:33">
      <c r="A282" s="553" t="s">
        <v>742</v>
      </c>
      <c r="B282" s="553" t="s">
        <v>743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</row>
    <row r="283" spans="1:33">
      <c r="A283" s="553" t="s">
        <v>744</v>
      </c>
      <c r="B283" s="553" t="s">
        <v>536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</row>
    <row r="284" spans="1:33">
      <c r="A284" s="553" t="s">
        <v>745</v>
      </c>
      <c r="B284" s="553" t="s">
        <v>746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</row>
    <row r="285" spans="1:33">
      <c r="A285" s="553" t="s">
        <v>747</v>
      </c>
      <c r="B285" s="553" t="s">
        <v>748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</row>
    <row r="286" spans="1:33">
      <c r="A286" s="553" t="s">
        <v>749</v>
      </c>
      <c r="B286" s="553" t="s">
        <v>750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</row>
    <row r="287" spans="1:33">
      <c r="A287" s="553" t="s">
        <v>751</v>
      </c>
      <c r="B287" s="553" t="s">
        <v>752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</row>
    <row r="288" spans="1:33">
      <c r="A288" s="553" t="s">
        <v>753</v>
      </c>
      <c r="B288" s="553" t="s">
        <v>220</v>
      </c>
      <c r="C288" s="1">
        <v>1370.58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1370.58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</row>
    <row r="289" spans="1:33">
      <c r="A289" s="553" t="s">
        <v>754</v>
      </c>
      <c r="B289" s="553" t="s">
        <v>755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</row>
    <row r="290" spans="1:33">
      <c r="A290" s="553" t="s">
        <v>756</v>
      </c>
      <c r="B290" s="553" t="s">
        <v>757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</row>
    <row r="291" spans="1:33">
      <c r="A291" s="553" t="s">
        <v>758</v>
      </c>
      <c r="B291" s="553" t="s">
        <v>759</v>
      </c>
      <c r="C291" s="1">
        <v>1370.58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1370.58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</row>
    <row r="292" spans="1:33">
      <c r="A292" s="553" t="s">
        <v>761</v>
      </c>
      <c r="B292" s="553" t="s">
        <v>762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</row>
    <row r="293" spans="1:33">
      <c r="A293" s="553" t="s">
        <v>763</v>
      </c>
      <c r="B293" s="553" t="s">
        <v>764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</row>
    <row r="294" spans="1:33">
      <c r="A294" s="553" t="s">
        <v>765</v>
      </c>
      <c r="B294" s="553" t="s">
        <v>766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</row>
    <row r="295" spans="1:33">
      <c r="A295" s="553" t="s">
        <v>767</v>
      </c>
      <c r="B295" s="553" t="s">
        <v>768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</row>
    <row r="296" spans="1:33">
      <c r="A296" s="553" t="s">
        <v>769</v>
      </c>
      <c r="B296" s="553" t="s">
        <v>770</v>
      </c>
      <c r="C296" s="1">
        <v>-9959.7900000000009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-9959.7900000000009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</row>
    <row r="297" spans="1:33">
      <c r="A297" s="553" t="s">
        <v>771</v>
      </c>
      <c r="B297" s="553" t="s">
        <v>772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</row>
    <row r="298" spans="1:33">
      <c r="A298" s="553" t="s">
        <v>773</v>
      </c>
      <c r="B298" s="553" t="s">
        <v>774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</row>
    <row r="299" spans="1:33">
      <c r="A299" s="553" t="s">
        <v>775</v>
      </c>
      <c r="B299" s="553" t="s">
        <v>776</v>
      </c>
      <c r="C299" s="1">
        <v>-9959.7900000000009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-9959.7900000000009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</row>
    <row r="300" spans="1:33">
      <c r="A300" s="553" t="s">
        <v>778</v>
      </c>
      <c r="B300" s="553" t="s">
        <v>779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</row>
    <row r="301" spans="1:33">
      <c r="A301" s="553" t="s">
        <v>780</v>
      </c>
      <c r="B301" s="553" t="s">
        <v>781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</row>
    <row r="302" spans="1:33">
      <c r="A302" s="553" t="s">
        <v>782</v>
      </c>
      <c r="B302" s="553" t="s">
        <v>446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</row>
    <row r="303" spans="1:33">
      <c r="A303" s="553" t="s">
        <v>783</v>
      </c>
      <c r="B303" s="553" t="s">
        <v>784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</row>
    <row r="304" spans="1:33">
      <c r="A304" s="553" t="s">
        <v>785</v>
      </c>
      <c r="B304" s="553" t="s">
        <v>786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</row>
    <row r="305" spans="1:33">
      <c r="A305" s="553" t="s">
        <v>788</v>
      </c>
      <c r="B305" s="553" t="s">
        <v>789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</row>
    <row r="306" spans="1:33">
      <c r="A306" s="553" t="s">
        <v>790</v>
      </c>
      <c r="B306" s="553" t="s">
        <v>733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</row>
    <row r="307" spans="1:33">
      <c r="A307" s="553" t="s">
        <v>791</v>
      </c>
      <c r="B307" s="553" t="s">
        <v>792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</row>
    <row r="308" spans="1:33">
      <c r="A308" s="553" t="s">
        <v>793</v>
      </c>
      <c r="B308" s="553" t="s">
        <v>1587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</row>
    <row r="309" spans="1:33">
      <c r="A309" s="553" t="s">
        <v>795</v>
      </c>
      <c r="B309" s="553" t="s">
        <v>796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</row>
    <row r="310" spans="1:33">
      <c r="A310" s="553" t="s">
        <v>797</v>
      </c>
      <c r="B310" s="553" t="s">
        <v>1588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</row>
    <row r="311" spans="1:33">
      <c r="A311" s="553" t="s">
        <v>799</v>
      </c>
      <c r="B311" s="553" t="s">
        <v>798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</row>
    <row r="312" spans="1:33">
      <c r="A312" s="553" t="s">
        <v>801</v>
      </c>
      <c r="B312" s="553" t="s">
        <v>802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</row>
    <row r="313" spans="1:33">
      <c r="A313" s="553" t="s">
        <v>803</v>
      </c>
      <c r="B313" s="553" t="s">
        <v>804</v>
      </c>
      <c r="C313" s="1">
        <v>254.28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254.28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</row>
    <row r="314" spans="1:33">
      <c r="A314" s="553" t="s">
        <v>1590</v>
      </c>
      <c r="B314" s="553" t="s">
        <v>1591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</row>
    <row r="315" spans="1:33">
      <c r="A315" s="553" t="s">
        <v>805</v>
      </c>
      <c r="B315" s="553" t="s">
        <v>806</v>
      </c>
      <c r="C315" s="1">
        <v>254.28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254.28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</row>
    <row r="316" spans="1:33">
      <c r="A316" s="553" t="s">
        <v>808</v>
      </c>
      <c r="B316" s="553" t="s">
        <v>735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</row>
    <row r="317" spans="1:33">
      <c r="A317" s="553" t="s">
        <v>809</v>
      </c>
      <c r="B317" s="553" t="s">
        <v>735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</row>
    <row r="318" spans="1:33">
      <c r="A318" s="553" t="s">
        <v>810</v>
      </c>
      <c r="B318" s="553" t="s">
        <v>811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</row>
    <row r="319" spans="1:33">
      <c r="A319" s="553" t="s">
        <v>813</v>
      </c>
      <c r="B319" s="553" t="s">
        <v>814</v>
      </c>
      <c r="C319" s="1">
        <v>254.28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254.28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</row>
    <row r="320" spans="1:33">
      <c r="A320" s="553" t="s">
        <v>816</v>
      </c>
      <c r="B320" s="553" t="s">
        <v>817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</row>
    <row r="321" spans="1:33">
      <c r="A321" s="553" t="s">
        <v>818</v>
      </c>
      <c r="B321" s="553" t="s">
        <v>819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</row>
    <row r="322" spans="1:33">
      <c r="A322" s="553" t="s">
        <v>820</v>
      </c>
      <c r="B322" s="553" t="s">
        <v>821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</row>
    <row r="323" spans="1:33">
      <c r="A323" s="553" t="s">
        <v>823</v>
      </c>
      <c r="B323" s="553" t="s">
        <v>824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</row>
    <row r="324" spans="1:33">
      <c r="A324" s="553" t="s">
        <v>825</v>
      </c>
      <c r="B324" s="553" t="s">
        <v>826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</row>
    <row r="325" spans="1:33">
      <c r="A325" s="553" t="s">
        <v>827</v>
      </c>
      <c r="B325" s="553" t="s">
        <v>828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</row>
    <row r="326" spans="1:33">
      <c r="A326" s="553" t="s">
        <v>830</v>
      </c>
      <c r="B326" s="553" t="s">
        <v>831</v>
      </c>
      <c r="C326" s="1">
        <v>-8334.93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254.28</v>
      </c>
      <c r="T326" s="1">
        <v>0</v>
      </c>
      <c r="U326" s="1">
        <v>0</v>
      </c>
      <c r="V326" s="1">
        <v>0</v>
      </c>
      <c r="W326" s="1">
        <v>0</v>
      </c>
      <c r="X326" s="1">
        <v>1370.58</v>
      </c>
      <c r="Y326" s="1">
        <v>0</v>
      </c>
      <c r="Z326" s="1">
        <v>0</v>
      </c>
      <c r="AA326" s="1">
        <v>0</v>
      </c>
      <c r="AB326" s="1">
        <v>-9959.7900000000009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</row>
    <row r="327" spans="1:33">
      <c r="A327" s="553" t="s">
        <v>833</v>
      </c>
      <c r="B327" s="553" t="s">
        <v>97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</row>
    <row r="328" spans="1:33">
      <c r="A328" s="553" t="s">
        <v>834</v>
      </c>
      <c r="B328" s="553" t="s">
        <v>835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</row>
    <row r="329" spans="1:33">
      <c r="A329" s="553" t="s">
        <v>836</v>
      </c>
      <c r="B329" s="553" t="s">
        <v>837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</row>
    <row r="330" spans="1:33">
      <c r="A330" s="553" t="s">
        <v>838</v>
      </c>
      <c r="B330" s="553" t="s">
        <v>839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</row>
    <row r="331" spans="1:33">
      <c r="A331" s="553" t="s">
        <v>841</v>
      </c>
      <c r="B331" s="553" t="s">
        <v>1152</v>
      </c>
      <c r="C331" s="1">
        <v>1731223.08</v>
      </c>
      <c r="D331" s="1">
        <v>62380.02</v>
      </c>
      <c r="E331" s="1">
        <v>26445.47</v>
      </c>
      <c r="F331" s="1">
        <v>5630.3</v>
      </c>
      <c r="G331" s="1">
        <v>16011.62</v>
      </c>
      <c r="H331" s="1">
        <v>30290.51</v>
      </c>
      <c r="I331" s="1">
        <v>2500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67512.350000000006</v>
      </c>
      <c r="P331" s="1">
        <v>0</v>
      </c>
      <c r="Q331" s="1">
        <v>0</v>
      </c>
      <c r="R331" s="1">
        <v>40217.57</v>
      </c>
      <c r="S331" s="1">
        <v>2305.5300000000002</v>
      </c>
      <c r="T331" s="1">
        <v>1667.22</v>
      </c>
      <c r="U331" s="1">
        <v>105410</v>
      </c>
      <c r="V331" s="1">
        <v>0</v>
      </c>
      <c r="W331" s="1">
        <v>26021.8</v>
      </c>
      <c r="X331" s="1">
        <v>443327.35</v>
      </c>
      <c r="Y331" s="1">
        <v>0</v>
      </c>
      <c r="Z331" s="1">
        <v>0</v>
      </c>
      <c r="AA331" s="1">
        <v>29843.82</v>
      </c>
      <c r="AB331" s="1">
        <v>778883.19</v>
      </c>
      <c r="AC331" s="1">
        <v>6253.61</v>
      </c>
      <c r="AD331" s="1">
        <v>0</v>
      </c>
      <c r="AE331" s="1">
        <v>0</v>
      </c>
      <c r="AF331" s="1">
        <v>55272.72</v>
      </c>
      <c r="AG331" s="1">
        <v>31250</v>
      </c>
    </row>
    <row r="332" spans="1:33">
      <c r="A332" s="553" t="s">
        <v>844</v>
      </c>
      <c r="B332" s="553" t="s">
        <v>1594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</row>
    <row r="333" spans="1:33">
      <c r="A333" s="553" t="s">
        <v>846</v>
      </c>
      <c r="B333" s="553" t="s">
        <v>847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</row>
    <row r="334" spans="1:33">
      <c r="A334" s="553" t="s">
        <v>848</v>
      </c>
      <c r="B334" s="553" t="s">
        <v>1533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</row>
    <row r="335" spans="1:33">
      <c r="A335" s="553" t="s">
        <v>850</v>
      </c>
      <c r="B335" s="553" t="s">
        <v>851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</row>
    <row r="336" spans="1:33">
      <c r="A336" s="553" t="s">
        <v>853</v>
      </c>
      <c r="B336" s="553" t="s">
        <v>854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</row>
    <row r="337" spans="1:33">
      <c r="A337" s="553" t="s">
        <v>855</v>
      </c>
      <c r="B337" s="553" t="s">
        <v>1595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</row>
    <row r="338" spans="1:33">
      <c r="A338" s="553" t="s">
        <v>857</v>
      </c>
      <c r="B338" s="553" t="s">
        <v>858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</row>
    <row r="339" spans="1:33">
      <c r="A339" s="553" t="s">
        <v>859</v>
      </c>
      <c r="B339" s="553" t="s">
        <v>1596</v>
      </c>
      <c r="C339" s="1">
        <v>-22762.71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-18688.57</v>
      </c>
      <c r="AC339" s="1">
        <v>0</v>
      </c>
      <c r="AD339" s="1">
        <v>0</v>
      </c>
      <c r="AE339" s="1">
        <v>0</v>
      </c>
      <c r="AF339" s="1">
        <v>-4074.14</v>
      </c>
      <c r="AG339" s="1">
        <v>0</v>
      </c>
    </row>
    <row r="340" spans="1:33">
      <c r="A340" s="553" t="s">
        <v>861</v>
      </c>
      <c r="B340" s="553" t="s">
        <v>862</v>
      </c>
      <c r="C340" s="1">
        <v>-22762.71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-18688.57</v>
      </c>
      <c r="AC340" s="1">
        <v>0</v>
      </c>
      <c r="AD340" s="1">
        <v>0</v>
      </c>
      <c r="AE340" s="1">
        <v>0</v>
      </c>
      <c r="AF340" s="1">
        <v>-4074.14</v>
      </c>
      <c r="AG340" s="1">
        <v>0</v>
      </c>
    </row>
    <row r="341" spans="1:33">
      <c r="A341" s="553" t="s">
        <v>864</v>
      </c>
      <c r="B341" s="553" t="s">
        <v>1152</v>
      </c>
      <c r="C341" s="1">
        <v>1708460.37</v>
      </c>
      <c r="D341" s="1">
        <v>62380.02</v>
      </c>
      <c r="E341" s="1">
        <v>26445.47</v>
      </c>
      <c r="F341" s="1">
        <v>5630.3</v>
      </c>
      <c r="G341" s="1">
        <v>16011.62</v>
      </c>
      <c r="H341" s="1">
        <v>30290.51</v>
      </c>
      <c r="I341" s="1">
        <v>2500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67512.350000000006</v>
      </c>
      <c r="P341" s="1">
        <v>0</v>
      </c>
      <c r="Q341" s="1">
        <v>0</v>
      </c>
      <c r="R341" s="1">
        <v>40217.57</v>
      </c>
      <c r="S341" s="1">
        <v>2305.5300000000002</v>
      </c>
      <c r="T341" s="1">
        <v>1667.22</v>
      </c>
      <c r="U341" s="1">
        <v>105410</v>
      </c>
      <c r="V341" s="1">
        <v>0</v>
      </c>
      <c r="W341" s="1">
        <v>26021.8</v>
      </c>
      <c r="X341" s="1">
        <v>443327.35</v>
      </c>
      <c r="Y341" s="1">
        <v>0</v>
      </c>
      <c r="Z341" s="1">
        <v>0</v>
      </c>
      <c r="AA341" s="1">
        <v>29843.82</v>
      </c>
      <c r="AB341" s="1">
        <v>760194.62</v>
      </c>
      <c r="AC341" s="1">
        <v>6253.61</v>
      </c>
      <c r="AD341" s="1">
        <v>0</v>
      </c>
      <c r="AE341" s="1">
        <v>0</v>
      </c>
      <c r="AF341" s="1">
        <v>51198.58</v>
      </c>
      <c r="AG341" s="1">
        <v>31250</v>
      </c>
    </row>
    <row r="342" spans="1:33">
      <c r="A342" s="553" t="s">
        <v>867</v>
      </c>
      <c r="B342" s="553" t="s">
        <v>868</v>
      </c>
      <c r="C342" s="1">
        <v>1712132.11</v>
      </c>
      <c r="D342" s="1">
        <v>62380.02</v>
      </c>
      <c r="E342" s="1">
        <v>26445.47</v>
      </c>
      <c r="F342" s="1">
        <v>5630.3</v>
      </c>
      <c r="G342" s="1">
        <v>16011.62</v>
      </c>
      <c r="H342" s="1">
        <v>30290.51</v>
      </c>
      <c r="I342" s="1">
        <v>2500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67512.350000000006</v>
      </c>
      <c r="P342" s="1">
        <v>0</v>
      </c>
      <c r="Q342" s="1">
        <v>0</v>
      </c>
      <c r="R342" s="1">
        <v>40217.57</v>
      </c>
      <c r="S342" s="1">
        <v>2305.5300000000002</v>
      </c>
      <c r="T342" s="1">
        <v>1667.22</v>
      </c>
      <c r="U342" s="1">
        <v>105410</v>
      </c>
      <c r="V342" s="1">
        <v>0</v>
      </c>
      <c r="W342" s="1">
        <v>26021.8</v>
      </c>
      <c r="X342" s="1">
        <v>443327.35</v>
      </c>
      <c r="Y342" s="1">
        <v>0</v>
      </c>
      <c r="Z342" s="1">
        <v>0</v>
      </c>
      <c r="AA342" s="1">
        <v>29843.82</v>
      </c>
      <c r="AB342" s="1">
        <v>760198.57</v>
      </c>
      <c r="AC342" s="1">
        <v>6253.61</v>
      </c>
      <c r="AD342" s="1">
        <v>0</v>
      </c>
      <c r="AE342" s="1">
        <v>3667.79</v>
      </c>
      <c r="AF342" s="1">
        <v>51198.58</v>
      </c>
      <c r="AG342" s="1">
        <v>31250</v>
      </c>
    </row>
    <row r="343" spans="1:33">
      <c r="A343" s="553" t="s">
        <v>870</v>
      </c>
      <c r="B343" s="553" t="s">
        <v>871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</row>
    <row r="344" spans="1:33">
      <c r="A344" s="553" t="s">
        <v>873</v>
      </c>
      <c r="B344" s="553" t="s">
        <v>874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</row>
    <row r="345" spans="1:33">
      <c r="A345" s="553" t="s">
        <v>875</v>
      </c>
      <c r="B345" s="553" t="s">
        <v>876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</row>
    <row r="346" spans="1:33">
      <c r="A346" s="553" t="s">
        <v>877</v>
      </c>
      <c r="B346" s="553" t="s">
        <v>878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</row>
    <row r="347" spans="1:33">
      <c r="A347" s="553" t="s">
        <v>879</v>
      </c>
      <c r="B347" s="553" t="s">
        <v>880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</row>
    <row r="348" spans="1:33">
      <c r="A348" s="553" t="s">
        <v>881</v>
      </c>
      <c r="B348" s="553" t="s">
        <v>882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</row>
    <row r="349" spans="1:33">
      <c r="A349" s="553" t="s">
        <v>883</v>
      </c>
      <c r="B349" s="553" t="s">
        <v>884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</row>
    <row r="350" spans="1:33">
      <c r="A350" s="553" t="s">
        <v>885</v>
      </c>
      <c r="B350" s="553" t="s">
        <v>886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</row>
    <row r="351" spans="1:33">
      <c r="A351" s="553" t="s">
        <v>887</v>
      </c>
      <c r="B351" s="553" t="s">
        <v>888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</row>
    <row r="352" spans="1:33">
      <c r="A352" s="553" t="s">
        <v>1597</v>
      </c>
      <c r="B352" s="553" t="s">
        <v>1582</v>
      </c>
      <c r="C352" s="1">
        <v>-22762.71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-18688.57</v>
      </c>
      <c r="AC352" s="1">
        <v>0</v>
      </c>
      <c r="AD352" s="1">
        <v>0</v>
      </c>
      <c r="AE352" s="1">
        <v>0</v>
      </c>
      <c r="AF352" s="1">
        <v>-4074.14</v>
      </c>
      <c r="AG352" s="1">
        <v>0</v>
      </c>
    </row>
    <row r="353" spans="1:33">
      <c r="A353" s="553" t="s">
        <v>1598</v>
      </c>
      <c r="B353" s="553" t="s">
        <v>1599</v>
      </c>
      <c r="C353" s="1">
        <v>66962.64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66962.64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</row>
    <row r="354" spans="1:33">
      <c r="A354" s="553" t="s">
        <v>889</v>
      </c>
      <c r="B354" s="553" t="s">
        <v>890</v>
      </c>
      <c r="C354" s="1">
        <v>44199.93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48274.07</v>
      </c>
      <c r="AC354" s="1">
        <v>0</v>
      </c>
      <c r="AD354" s="1">
        <v>0</v>
      </c>
      <c r="AE354" s="1">
        <v>0</v>
      </c>
      <c r="AF354" s="1">
        <v>-4074.14</v>
      </c>
      <c r="AG354" s="1">
        <v>0</v>
      </c>
    </row>
    <row r="355" spans="1:33">
      <c r="A355" s="553" t="s">
        <v>892</v>
      </c>
      <c r="B355" s="553" t="s">
        <v>893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</row>
    <row r="356" spans="1:33">
      <c r="A356" s="553" t="s">
        <v>894</v>
      </c>
      <c r="B356" s="553" t="s">
        <v>895</v>
      </c>
      <c r="C356" s="1">
        <v>-14000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-14000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</row>
    <row r="357" spans="1:33">
      <c r="A357" s="553" t="s">
        <v>896</v>
      </c>
      <c r="B357" s="553" t="s">
        <v>897</v>
      </c>
      <c r="C357" s="1">
        <v>-14000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-14000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</row>
    <row r="358" spans="1:33">
      <c r="A358" s="553" t="s">
        <v>1600</v>
      </c>
      <c r="B358" s="553" t="s">
        <v>1601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</row>
    <row r="359" spans="1:33">
      <c r="A359" s="553" t="s">
        <v>1602</v>
      </c>
      <c r="B359" s="553" t="s">
        <v>1603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</row>
    <row r="360" spans="1:33">
      <c r="A360" s="553" t="s">
        <v>1604</v>
      </c>
      <c r="B360" s="553" t="s">
        <v>1605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</row>
    <row r="361" spans="1:33">
      <c r="A361" s="553" t="s">
        <v>899</v>
      </c>
      <c r="B361" s="553" t="s">
        <v>900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</row>
    <row r="362" spans="1:33">
      <c r="A362" s="553" t="s">
        <v>901</v>
      </c>
      <c r="B362" s="553" t="s">
        <v>902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</row>
    <row r="363" spans="1:33">
      <c r="A363" s="553" t="s">
        <v>903</v>
      </c>
      <c r="B363" s="553" t="s">
        <v>904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</row>
    <row r="364" spans="1:33">
      <c r="A364" s="553" t="s">
        <v>905</v>
      </c>
      <c r="B364" s="553" t="s">
        <v>906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</row>
    <row r="365" spans="1:33">
      <c r="A365" s="553" t="s">
        <v>907</v>
      </c>
      <c r="B365" s="553" t="s">
        <v>908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</row>
    <row r="366" spans="1:33">
      <c r="A366" s="553" t="s">
        <v>909</v>
      </c>
      <c r="B366" s="553" t="s">
        <v>910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</row>
    <row r="367" spans="1:33">
      <c r="A367" s="553" t="s">
        <v>911</v>
      </c>
      <c r="B367" s="553" t="s">
        <v>912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</row>
    <row r="368" spans="1:33">
      <c r="A368" s="553" t="s">
        <v>913</v>
      </c>
      <c r="B368" s="553" t="s">
        <v>914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</row>
    <row r="369" spans="1:33">
      <c r="A369" s="553" t="s">
        <v>916</v>
      </c>
      <c r="B369" s="553" t="s">
        <v>917</v>
      </c>
      <c r="C369" s="1">
        <v>30199.93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34274.07</v>
      </c>
      <c r="AC369" s="1">
        <v>0</v>
      </c>
      <c r="AD369" s="1">
        <v>0</v>
      </c>
      <c r="AE369" s="1">
        <v>0</v>
      </c>
      <c r="AF369" s="1">
        <v>-4074.14</v>
      </c>
      <c r="AG369" s="1">
        <v>0</v>
      </c>
    </row>
    <row r="370" spans="1:33">
      <c r="A370" s="553" t="s">
        <v>919</v>
      </c>
      <c r="B370" s="553" t="s">
        <v>920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</row>
    <row r="371" spans="1:33">
      <c r="A371" s="553" t="s">
        <v>921</v>
      </c>
      <c r="B371" s="553" t="s">
        <v>922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</row>
    <row r="372" spans="1:33">
      <c r="A372" s="553" t="s">
        <v>923</v>
      </c>
      <c r="B372" s="553" t="s">
        <v>924</v>
      </c>
      <c r="C372" s="1">
        <v>-100000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-100000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</row>
    <row r="373" spans="1:33">
      <c r="A373" s="553" t="s">
        <v>925</v>
      </c>
      <c r="B373" s="553" t="s">
        <v>926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</row>
    <row r="374" spans="1:33">
      <c r="A374" s="553" t="s">
        <v>927</v>
      </c>
      <c r="B374" s="553" t="s">
        <v>1607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</row>
    <row r="375" spans="1:33">
      <c r="A375" s="553" t="s">
        <v>929</v>
      </c>
      <c r="B375" s="553" t="s">
        <v>930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</row>
    <row r="376" spans="1:33">
      <c r="A376" s="553" t="s">
        <v>931</v>
      </c>
      <c r="B376" s="553" t="s">
        <v>932</v>
      </c>
      <c r="C376" s="1">
        <v>-49898.62</v>
      </c>
      <c r="D376" s="1">
        <v>0</v>
      </c>
      <c r="E376" s="1">
        <v>0</v>
      </c>
      <c r="F376" s="1">
        <v>0</v>
      </c>
      <c r="G376" s="1">
        <v>0</v>
      </c>
      <c r="H376" s="1">
        <v>-2500</v>
      </c>
      <c r="I376" s="1">
        <v>-2500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-406.89</v>
      </c>
      <c r="V376" s="1">
        <v>0</v>
      </c>
      <c r="W376" s="1">
        <v>-2150</v>
      </c>
      <c r="X376" s="1">
        <v>-4740.43</v>
      </c>
      <c r="Y376" s="1">
        <v>0</v>
      </c>
      <c r="Z376" s="1">
        <v>0</v>
      </c>
      <c r="AA376" s="1">
        <v>0</v>
      </c>
      <c r="AB376" s="1">
        <v>-6335.26</v>
      </c>
      <c r="AC376" s="1">
        <v>0</v>
      </c>
      <c r="AD376" s="1">
        <v>0</v>
      </c>
      <c r="AE376" s="1">
        <v>-16.04</v>
      </c>
      <c r="AF376" s="1">
        <v>0</v>
      </c>
      <c r="AG376" s="1">
        <v>-31250</v>
      </c>
    </row>
    <row r="377" spans="1:33">
      <c r="A377" s="553" t="s">
        <v>933</v>
      </c>
      <c r="B377" s="553" t="s">
        <v>934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</row>
    <row r="378" spans="1:33">
      <c r="A378" s="553" t="s">
        <v>935</v>
      </c>
      <c r="B378" s="553" t="s">
        <v>936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</row>
    <row r="379" spans="1:33">
      <c r="A379" s="553" t="s">
        <v>937</v>
      </c>
      <c r="B379" s="553" t="s">
        <v>938</v>
      </c>
      <c r="C379" s="1">
        <v>-149898.62</v>
      </c>
      <c r="D379" s="1">
        <v>0</v>
      </c>
      <c r="E379" s="1">
        <v>0</v>
      </c>
      <c r="F379" s="1">
        <v>0</v>
      </c>
      <c r="G379" s="1">
        <v>0</v>
      </c>
      <c r="H379" s="1">
        <v>-2500</v>
      </c>
      <c r="I379" s="1">
        <v>-2500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-100000</v>
      </c>
      <c r="T379" s="1">
        <v>0</v>
      </c>
      <c r="U379" s="1">
        <v>-406.89</v>
      </c>
      <c r="V379" s="1">
        <v>0</v>
      </c>
      <c r="W379" s="1">
        <v>-2150</v>
      </c>
      <c r="X379" s="1">
        <v>-4740.43</v>
      </c>
      <c r="Y379" s="1">
        <v>0</v>
      </c>
      <c r="Z379" s="1">
        <v>0</v>
      </c>
      <c r="AA379" s="1">
        <v>0</v>
      </c>
      <c r="AB379" s="1">
        <v>-6335.26</v>
      </c>
      <c r="AC379" s="1">
        <v>0</v>
      </c>
      <c r="AD379" s="1">
        <v>0</v>
      </c>
      <c r="AE379" s="1">
        <v>-16.04</v>
      </c>
      <c r="AF379" s="1">
        <v>0</v>
      </c>
      <c r="AG379" s="1">
        <v>-31250</v>
      </c>
    </row>
    <row r="380" spans="1:33">
      <c r="A380" s="553" t="s">
        <v>940</v>
      </c>
      <c r="B380" s="553" t="s">
        <v>941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</row>
    <row r="381" spans="1:33">
      <c r="A381" s="553" t="s">
        <v>942</v>
      </c>
      <c r="B381" s="553" t="s">
        <v>943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</row>
    <row r="382" spans="1:33">
      <c r="A382" s="553" t="s">
        <v>944</v>
      </c>
      <c r="B382" s="553" t="s">
        <v>945</v>
      </c>
      <c r="C382" s="1">
        <v>-5000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-5000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</row>
    <row r="383" spans="1:33">
      <c r="A383" s="553" t="s">
        <v>946</v>
      </c>
      <c r="B383" s="553" t="s">
        <v>947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</row>
    <row r="384" spans="1:33">
      <c r="A384" s="553" t="s">
        <v>948</v>
      </c>
      <c r="B384" s="553" t="s">
        <v>949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</row>
    <row r="385" spans="1:33">
      <c r="A385" s="553" t="s">
        <v>950</v>
      </c>
      <c r="B385" s="553" t="s">
        <v>951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</row>
    <row r="386" spans="1:33">
      <c r="A386" s="553" t="s">
        <v>952</v>
      </c>
      <c r="B386" s="553" t="s">
        <v>953</v>
      </c>
      <c r="C386" s="1">
        <v>-5000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-5000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</row>
    <row r="387" spans="1:33">
      <c r="A387" s="553" t="s">
        <v>955</v>
      </c>
      <c r="B387" s="553" t="s">
        <v>956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</row>
    <row r="388" spans="1:33">
      <c r="A388" s="553" t="s">
        <v>957</v>
      </c>
      <c r="B388" s="553" t="s">
        <v>958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</row>
    <row r="389" spans="1:33">
      <c r="A389" s="553" t="s">
        <v>959</v>
      </c>
      <c r="B389" s="553" t="s">
        <v>960</v>
      </c>
      <c r="C389" s="1">
        <v>-30025</v>
      </c>
      <c r="D389" s="1">
        <v>-30025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</row>
    <row r="390" spans="1:33">
      <c r="A390" s="553" t="s">
        <v>961</v>
      </c>
      <c r="B390" s="553" t="s">
        <v>962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</row>
    <row r="391" spans="1:33">
      <c r="A391" s="553" t="s">
        <v>963</v>
      </c>
      <c r="B391" s="553" t="s">
        <v>964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</row>
    <row r="392" spans="1:33">
      <c r="A392" s="553" t="s">
        <v>965</v>
      </c>
      <c r="B392" s="553" t="s">
        <v>966</v>
      </c>
      <c r="C392" s="1">
        <v>-30025</v>
      </c>
      <c r="D392" s="1">
        <v>-30025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</row>
    <row r="393" spans="1:33">
      <c r="A393" s="553" t="s">
        <v>968</v>
      </c>
      <c r="B393" s="553" t="s">
        <v>938</v>
      </c>
      <c r="C393" s="1">
        <v>-184923.62</v>
      </c>
      <c r="D393" s="1">
        <v>-30025</v>
      </c>
      <c r="E393" s="1">
        <v>0</v>
      </c>
      <c r="F393" s="1">
        <v>0</v>
      </c>
      <c r="G393" s="1">
        <v>0</v>
      </c>
      <c r="H393" s="1">
        <v>-2500</v>
      </c>
      <c r="I393" s="1">
        <v>-2500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-100000</v>
      </c>
      <c r="T393" s="1">
        <v>0</v>
      </c>
      <c r="U393" s="1">
        <v>-406.89</v>
      </c>
      <c r="V393" s="1">
        <v>0</v>
      </c>
      <c r="W393" s="1">
        <v>-2150</v>
      </c>
      <c r="X393" s="1">
        <v>-9740.43</v>
      </c>
      <c r="Y393" s="1">
        <v>0</v>
      </c>
      <c r="Z393" s="1">
        <v>0</v>
      </c>
      <c r="AA393" s="1">
        <v>0</v>
      </c>
      <c r="AB393" s="1">
        <v>-6335.26</v>
      </c>
      <c r="AC393" s="1">
        <v>0</v>
      </c>
      <c r="AD393" s="1">
        <v>0</v>
      </c>
      <c r="AE393" s="1">
        <v>-16.04</v>
      </c>
      <c r="AF393" s="1">
        <v>0</v>
      </c>
      <c r="AG393" s="1">
        <v>-31250</v>
      </c>
    </row>
    <row r="394" spans="1:33">
      <c r="A394" s="553" t="s">
        <v>970</v>
      </c>
      <c r="B394" s="553" t="s">
        <v>971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</row>
    <row r="395" spans="1:33">
      <c r="A395" s="553" t="s">
        <v>972</v>
      </c>
      <c r="B395" s="553" t="s">
        <v>973</v>
      </c>
      <c r="C395" s="1">
        <v>-18285.32</v>
      </c>
      <c r="D395" s="1">
        <v>-7167.18</v>
      </c>
      <c r="E395" s="1">
        <v>-695</v>
      </c>
      <c r="F395" s="1">
        <v>-3639.52</v>
      </c>
      <c r="G395" s="1">
        <v>-12790.86</v>
      </c>
      <c r="H395" s="1">
        <v>-12915.51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-5812.9</v>
      </c>
      <c r="P395" s="1">
        <v>0</v>
      </c>
      <c r="Q395" s="1">
        <v>0</v>
      </c>
      <c r="R395" s="1">
        <v>0</v>
      </c>
      <c r="S395" s="1">
        <v>0</v>
      </c>
      <c r="T395" s="1">
        <v>-1667.22</v>
      </c>
      <c r="U395" s="1">
        <v>0</v>
      </c>
      <c r="V395" s="1">
        <v>0</v>
      </c>
      <c r="W395" s="1">
        <v>-2668.8</v>
      </c>
      <c r="X395" s="1">
        <v>-12290.4</v>
      </c>
      <c r="Y395" s="1">
        <v>0</v>
      </c>
      <c r="Z395" s="1">
        <v>0</v>
      </c>
      <c r="AA395" s="1">
        <v>0</v>
      </c>
      <c r="AB395" s="1">
        <v>46516.25</v>
      </c>
      <c r="AC395" s="1">
        <v>-1780.43</v>
      </c>
      <c r="AD395" s="1">
        <v>0</v>
      </c>
      <c r="AE395" s="1">
        <v>-3373.75</v>
      </c>
      <c r="AF395" s="1">
        <v>0</v>
      </c>
      <c r="AG395" s="1">
        <v>0</v>
      </c>
    </row>
    <row r="396" spans="1:33">
      <c r="A396" s="553" t="s">
        <v>974</v>
      </c>
      <c r="B396" s="553" t="s">
        <v>975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</row>
    <row r="397" spans="1:33">
      <c r="A397" s="553" t="s">
        <v>976</v>
      </c>
      <c r="B397" s="553" t="s">
        <v>977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</row>
    <row r="398" spans="1:33">
      <c r="A398" s="553" t="s">
        <v>978</v>
      </c>
      <c r="B398" s="553" t="s">
        <v>979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</row>
    <row r="399" spans="1:33">
      <c r="A399" s="553" t="s">
        <v>980</v>
      </c>
      <c r="B399" s="553" t="s">
        <v>981</v>
      </c>
      <c r="C399" s="1">
        <v>-9438.18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-5270.81</v>
      </c>
      <c r="V399" s="1">
        <v>0</v>
      </c>
      <c r="W399" s="1">
        <v>-628</v>
      </c>
      <c r="X399" s="1">
        <v>0</v>
      </c>
      <c r="Y399" s="1">
        <v>0</v>
      </c>
      <c r="Z399" s="1">
        <v>0</v>
      </c>
      <c r="AA399" s="1">
        <v>0</v>
      </c>
      <c r="AB399" s="1">
        <v>-3539.37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</row>
    <row r="400" spans="1:33">
      <c r="A400" s="553" t="s">
        <v>982</v>
      </c>
      <c r="B400" s="553" t="s">
        <v>983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</row>
    <row r="401" spans="1:33">
      <c r="A401" s="553" t="s">
        <v>984</v>
      </c>
      <c r="B401" s="553" t="s">
        <v>985</v>
      </c>
      <c r="C401" s="1">
        <v>-227836.44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-23206.15</v>
      </c>
      <c r="Y401" s="1">
        <v>0</v>
      </c>
      <c r="Z401" s="1">
        <v>0</v>
      </c>
      <c r="AA401" s="1">
        <v>0</v>
      </c>
      <c r="AB401" s="1">
        <v>-204630.29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</row>
    <row r="402" spans="1:33">
      <c r="A402" s="553" t="s">
        <v>986</v>
      </c>
      <c r="B402" s="553" t="s">
        <v>987</v>
      </c>
      <c r="C402" s="1">
        <v>45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45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</row>
    <row r="403" spans="1:33">
      <c r="A403" s="553" t="s">
        <v>988</v>
      </c>
      <c r="B403" s="553" t="s">
        <v>989</v>
      </c>
      <c r="C403" s="1">
        <v>39.4</v>
      </c>
      <c r="D403" s="1">
        <v>0</v>
      </c>
      <c r="E403" s="1">
        <v>0</v>
      </c>
      <c r="F403" s="1">
        <v>0</v>
      </c>
      <c r="G403" s="1">
        <v>39.4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</row>
    <row r="404" spans="1:33">
      <c r="A404" s="553" t="s">
        <v>990</v>
      </c>
      <c r="B404" s="553" t="s">
        <v>991</v>
      </c>
      <c r="C404" s="1">
        <v>5525.4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5064.3999999999996</v>
      </c>
      <c r="Y404" s="1">
        <v>0</v>
      </c>
      <c r="Z404" s="1">
        <v>0</v>
      </c>
      <c r="AA404" s="1">
        <v>0</v>
      </c>
      <c r="AB404" s="1">
        <v>461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</row>
    <row r="405" spans="1:33">
      <c r="A405" s="553" t="s">
        <v>992</v>
      </c>
      <c r="B405" s="553" t="s">
        <v>993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</row>
    <row r="406" spans="1:33">
      <c r="A406" s="553" t="s">
        <v>994</v>
      </c>
      <c r="B406" s="553" t="s">
        <v>995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</row>
    <row r="407" spans="1:33">
      <c r="A407" s="553" t="s">
        <v>996</v>
      </c>
      <c r="B407" s="553" t="s">
        <v>997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</row>
    <row r="408" spans="1:33">
      <c r="A408" s="553" t="s">
        <v>998</v>
      </c>
      <c r="B408" s="553" t="s">
        <v>999</v>
      </c>
      <c r="C408" s="1">
        <v>1466.2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1466.2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</row>
    <row r="409" spans="1:33">
      <c r="A409" s="553" t="s">
        <v>1000</v>
      </c>
      <c r="B409" s="553" t="s">
        <v>1001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</row>
    <row r="410" spans="1:33">
      <c r="A410" s="553" t="s">
        <v>1002</v>
      </c>
      <c r="B410" s="553" t="s">
        <v>1003</v>
      </c>
      <c r="C410" s="1">
        <v>-248483.94</v>
      </c>
      <c r="D410" s="1">
        <v>-7167.18</v>
      </c>
      <c r="E410" s="1">
        <v>-695</v>
      </c>
      <c r="F410" s="1">
        <v>-3639.52</v>
      </c>
      <c r="G410" s="1">
        <v>-12751.46</v>
      </c>
      <c r="H410" s="1">
        <v>-12915.51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-5812.9</v>
      </c>
      <c r="P410" s="1">
        <v>0</v>
      </c>
      <c r="Q410" s="1">
        <v>0</v>
      </c>
      <c r="R410" s="1">
        <v>0</v>
      </c>
      <c r="S410" s="1">
        <v>0</v>
      </c>
      <c r="T410" s="1">
        <v>-1667.22</v>
      </c>
      <c r="U410" s="1">
        <v>-5270.81</v>
      </c>
      <c r="V410" s="1">
        <v>0</v>
      </c>
      <c r="W410" s="1">
        <v>-3296.8</v>
      </c>
      <c r="X410" s="1">
        <v>-30387.15</v>
      </c>
      <c r="Y410" s="1">
        <v>0</v>
      </c>
      <c r="Z410" s="1">
        <v>0</v>
      </c>
      <c r="AA410" s="1">
        <v>0</v>
      </c>
      <c r="AB410" s="1">
        <v>-159726.21</v>
      </c>
      <c r="AC410" s="1">
        <v>-1780.43</v>
      </c>
      <c r="AD410" s="1">
        <v>0</v>
      </c>
      <c r="AE410" s="1">
        <v>-3373.75</v>
      </c>
      <c r="AF410" s="1">
        <v>0</v>
      </c>
      <c r="AG410" s="1">
        <v>0</v>
      </c>
    </row>
    <row r="411" spans="1:33">
      <c r="A411" s="553" t="s">
        <v>1005</v>
      </c>
      <c r="B411" s="553" t="s">
        <v>1006</v>
      </c>
      <c r="C411" s="1">
        <v>-403207.63</v>
      </c>
      <c r="D411" s="1">
        <v>-37192.18</v>
      </c>
      <c r="E411" s="1">
        <v>-695</v>
      </c>
      <c r="F411" s="1">
        <v>-3639.52</v>
      </c>
      <c r="G411" s="1">
        <v>-12751.46</v>
      </c>
      <c r="H411" s="1">
        <v>-15415.51</v>
      </c>
      <c r="I411" s="1">
        <v>-2500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-5812.9</v>
      </c>
      <c r="P411" s="1">
        <v>0</v>
      </c>
      <c r="Q411" s="1">
        <v>0</v>
      </c>
      <c r="R411" s="1">
        <v>0</v>
      </c>
      <c r="S411" s="1">
        <v>-100000</v>
      </c>
      <c r="T411" s="1">
        <v>-1667.22</v>
      </c>
      <c r="U411" s="1">
        <v>-5677.7</v>
      </c>
      <c r="V411" s="1">
        <v>0</v>
      </c>
      <c r="W411" s="1">
        <v>-5446.8</v>
      </c>
      <c r="X411" s="1">
        <v>-40127.58</v>
      </c>
      <c r="Y411" s="1">
        <v>0</v>
      </c>
      <c r="Z411" s="1">
        <v>0</v>
      </c>
      <c r="AA411" s="1">
        <v>0</v>
      </c>
      <c r="AB411" s="1">
        <v>-131787.4</v>
      </c>
      <c r="AC411" s="1">
        <v>-1780.43</v>
      </c>
      <c r="AD411" s="1">
        <v>0</v>
      </c>
      <c r="AE411" s="1">
        <v>-3389.79</v>
      </c>
      <c r="AF411" s="1">
        <v>-4074.14</v>
      </c>
      <c r="AG411" s="1">
        <v>-31250</v>
      </c>
    </row>
    <row r="412" spans="1:33">
      <c r="A412" s="553" t="s">
        <v>1008</v>
      </c>
      <c r="B412" s="553" t="s">
        <v>1009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</row>
    <row r="413" spans="1:33">
      <c r="A413" s="553" t="s">
        <v>1010</v>
      </c>
      <c r="B413" s="553" t="s">
        <v>1011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</row>
    <row r="414" spans="1:33">
      <c r="A414" s="553" t="s">
        <v>1012</v>
      </c>
      <c r="B414" s="553" t="s">
        <v>1013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</row>
    <row r="415" spans="1:33">
      <c r="A415" s="553" t="s">
        <v>1014</v>
      </c>
      <c r="B415" s="553" t="s">
        <v>1015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</row>
    <row r="416" spans="1:33">
      <c r="A416" s="553" t="s">
        <v>1016</v>
      </c>
      <c r="B416" s="553" t="s">
        <v>106</v>
      </c>
      <c r="C416" s="1">
        <v>1712132.11</v>
      </c>
      <c r="D416" s="1">
        <v>62380.02</v>
      </c>
      <c r="E416" s="1">
        <v>26445.47</v>
      </c>
      <c r="F416" s="1">
        <v>5630.3</v>
      </c>
      <c r="G416" s="1">
        <v>16011.62</v>
      </c>
      <c r="H416" s="1">
        <v>30290.51</v>
      </c>
      <c r="I416" s="1">
        <v>2500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67512.350000000006</v>
      </c>
      <c r="P416" s="1">
        <v>0</v>
      </c>
      <c r="Q416" s="1">
        <v>0</v>
      </c>
      <c r="R416" s="1">
        <v>40217.57</v>
      </c>
      <c r="S416" s="1">
        <v>2305.5300000000002</v>
      </c>
      <c r="T416" s="1">
        <v>1667.22</v>
      </c>
      <c r="U416" s="1">
        <v>105410</v>
      </c>
      <c r="V416" s="1">
        <v>0</v>
      </c>
      <c r="W416" s="1">
        <v>26021.8</v>
      </c>
      <c r="X416" s="1">
        <v>443327.35</v>
      </c>
      <c r="Y416" s="1">
        <v>0</v>
      </c>
      <c r="Z416" s="1">
        <v>0</v>
      </c>
      <c r="AA416" s="1">
        <v>29843.82</v>
      </c>
      <c r="AB416" s="1">
        <v>760198.57</v>
      </c>
      <c r="AC416" s="1">
        <v>6253.61</v>
      </c>
      <c r="AD416" s="1">
        <v>0</v>
      </c>
      <c r="AE416" s="1">
        <v>3667.79</v>
      </c>
      <c r="AF416" s="1">
        <v>51198.58</v>
      </c>
      <c r="AG416" s="1">
        <v>31250</v>
      </c>
    </row>
    <row r="417" spans="1:33">
      <c r="A417" s="553" t="s">
        <v>1017</v>
      </c>
      <c r="B417" s="553" t="s">
        <v>1018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</row>
    <row r="418" spans="1:33">
      <c r="A418" s="553" t="s">
        <v>1019</v>
      </c>
      <c r="B418" s="553" t="s">
        <v>1020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</row>
    <row r="419" spans="1:33">
      <c r="A419" s="553" t="s">
        <v>1021</v>
      </c>
      <c r="B419" s="553" t="s">
        <v>1022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</row>
    <row r="420" spans="1:33">
      <c r="A420" s="553" t="s">
        <v>1023</v>
      </c>
      <c r="B420" s="553" t="s">
        <v>1024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</row>
    <row r="421" spans="1:33">
      <c r="A421" s="553" t="s">
        <v>1025</v>
      </c>
      <c r="B421" s="553" t="s">
        <v>1026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</row>
    <row r="422" spans="1:33">
      <c r="A422" s="553" t="s">
        <v>1028</v>
      </c>
      <c r="B422" s="553" t="s">
        <v>1029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</row>
    <row r="423" spans="1:33">
      <c r="A423" s="553" t="s">
        <v>1030</v>
      </c>
      <c r="B423" s="553" t="s">
        <v>1031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</row>
    <row r="424" spans="1:33">
      <c r="A424" s="553" t="s">
        <v>1032</v>
      </c>
      <c r="B424" s="553" t="s">
        <v>1033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</row>
    <row r="425" spans="1:33">
      <c r="A425" s="553" t="s">
        <v>1034</v>
      </c>
      <c r="B425" s="553" t="s">
        <v>1035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</row>
    <row r="426" spans="1:33">
      <c r="A426" s="553" t="s">
        <v>1036</v>
      </c>
      <c r="B426" s="553" t="s">
        <v>1037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</row>
    <row r="427" spans="1:33">
      <c r="A427" s="553" t="s">
        <v>1038</v>
      </c>
      <c r="B427" s="553" t="s">
        <v>440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</row>
    <row r="428" spans="1:33">
      <c r="A428" s="553" t="s">
        <v>1614</v>
      </c>
      <c r="B428" s="553" t="s">
        <v>1615</v>
      </c>
      <c r="C428" s="1">
        <v>22762.71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18688.57</v>
      </c>
      <c r="AC428" s="1">
        <v>0</v>
      </c>
      <c r="AD428" s="1">
        <v>0</v>
      </c>
      <c r="AE428" s="1">
        <v>0</v>
      </c>
      <c r="AF428" s="1">
        <v>4074.14</v>
      </c>
      <c r="AG428" s="1">
        <v>0</v>
      </c>
    </row>
    <row r="429" spans="1:33">
      <c r="A429" s="553" t="s">
        <v>1039</v>
      </c>
      <c r="B429" s="553" t="s">
        <v>1040</v>
      </c>
      <c r="C429" s="1">
        <v>22762.71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18688.57</v>
      </c>
      <c r="AC429" s="1">
        <v>0</v>
      </c>
      <c r="AD429" s="1">
        <v>0</v>
      </c>
      <c r="AE429" s="1">
        <v>0</v>
      </c>
      <c r="AF429" s="1">
        <v>4074.14</v>
      </c>
      <c r="AG429" s="1">
        <v>0</v>
      </c>
    </row>
    <row r="430" spans="1:33">
      <c r="A430" s="553" t="s">
        <v>1042</v>
      </c>
      <c r="B430" s="553" t="s">
        <v>1043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</row>
    <row r="431" spans="1:33">
      <c r="A431" s="553" t="s">
        <v>1044</v>
      </c>
      <c r="B431" s="553" t="s">
        <v>1045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</row>
    <row r="432" spans="1:33">
      <c r="A432" s="553" t="s">
        <v>1046</v>
      </c>
      <c r="B432" s="553" t="s">
        <v>1047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</row>
    <row r="433" spans="1:33">
      <c r="A433" s="553" t="s">
        <v>1048</v>
      </c>
      <c r="B433" s="553" t="s">
        <v>1049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</row>
    <row r="434" spans="1:33">
      <c r="A434" s="553" t="s">
        <v>1050</v>
      </c>
      <c r="B434" s="553" t="s">
        <v>1051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</row>
    <row r="435" spans="1:33">
      <c r="A435" s="553" t="s">
        <v>1052</v>
      </c>
      <c r="B435" s="553" t="s">
        <v>2028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</row>
    <row r="436" spans="1:33">
      <c r="A436" s="553" t="s">
        <v>1054</v>
      </c>
      <c r="B436" s="553" t="s">
        <v>103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</row>
    <row r="437" spans="1:33">
      <c r="A437" s="553" t="s">
        <v>1056</v>
      </c>
      <c r="B437" s="553" t="s">
        <v>1057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</row>
    <row r="438" spans="1:33">
      <c r="A438" s="553" t="s">
        <v>1058</v>
      </c>
      <c r="B438" s="553" t="s">
        <v>1031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</row>
    <row r="439" spans="1:33">
      <c r="A439" s="553" t="s">
        <v>1059</v>
      </c>
      <c r="B439" s="553" t="s">
        <v>1060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</row>
    <row r="440" spans="1:33">
      <c r="A440" s="553" t="s">
        <v>1061</v>
      </c>
      <c r="B440" s="553" t="s">
        <v>1062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</row>
    <row r="441" spans="1:33">
      <c r="A441" s="553" t="s">
        <v>1063</v>
      </c>
      <c r="B441" s="553" t="s">
        <v>1064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</row>
    <row r="442" spans="1:33">
      <c r="A442" s="553" t="s">
        <v>1066</v>
      </c>
      <c r="B442" s="553" t="s">
        <v>1067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</row>
    <row r="443" spans="1:33">
      <c r="A443" s="553" t="s">
        <v>1069</v>
      </c>
      <c r="B443" s="553" t="s">
        <v>1070</v>
      </c>
      <c r="C443" s="1">
        <v>22762.71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18688.57</v>
      </c>
      <c r="AC443" s="1">
        <v>0</v>
      </c>
      <c r="AD443" s="1">
        <v>0</v>
      </c>
      <c r="AE443" s="1">
        <v>0</v>
      </c>
      <c r="AF443" s="1">
        <v>4074.14</v>
      </c>
      <c r="AG443" s="1">
        <v>0</v>
      </c>
    </row>
    <row r="444" spans="1:33">
      <c r="A444" s="553" t="s">
        <v>1072</v>
      </c>
      <c r="B444" s="553" t="s">
        <v>1073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</row>
    <row r="445" spans="1:33">
      <c r="A445" s="553" t="s">
        <v>1074</v>
      </c>
      <c r="B445" s="553" t="s">
        <v>1075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</row>
    <row r="446" spans="1:33">
      <c r="A446" s="553" t="s">
        <v>1076</v>
      </c>
      <c r="B446" s="553" t="s">
        <v>1077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</row>
    <row r="447" spans="1:33">
      <c r="A447" s="553" t="s">
        <v>1078</v>
      </c>
      <c r="B447" s="553" t="s">
        <v>1079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</row>
    <row r="448" spans="1:33">
      <c r="A448" s="553" t="s">
        <v>1080</v>
      </c>
      <c r="B448" s="553" t="s">
        <v>1081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</row>
    <row r="449" spans="1:33">
      <c r="A449" s="553" t="s">
        <v>1083</v>
      </c>
      <c r="B449" s="553" t="s">
        <v>1084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</row>
    <row r="450" spans="1:33">
      <c r="A450" s="553" t="s">
        <v>1085</v>
      </c>
      <c r="B450" s="553" t="s">
        <v>1086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</row>
    <row r="451" spans="1:33">
      <c r="A451" s="553" t="s">
        <v>1087</v>
      </c>
      <c r="B451" s="553" t="s">
        <v>1088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</row>
    <row r="452" spans="1:33">
      <c r="A452" s="553" t="s">
        <v>1089</v>
      </c>
      <c r="B452" s="553" t="s">
        <v>1090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</row>
    <row r="453" spans="1:33">
      <c r="A453" s="553" t="s">
        <v>1092</v>
      </c>
      <c r="B453" s="553" t="s">
        <v>1093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</row>
    <row r="454" spans="1:33">
      <c r="A454" s="553" t="s">
        <v>1094</v>
      </c>
      <c r="B454" s="553" t="s">
        <v>1095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</row>
    <row r="455" spans="1:33">
      <c r="A455" s="553" t="s">
        <v>1096</v>
      </c>
      <c r="B455" s="553" t="s">
        <v>1097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</row>
    <row r="456" spans="1:33">
      <c r="A456" s="553" t="s">
        <v>1098</v>
      </c>
      <c r="B456" s="553" t="s">
        <v>1099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</row>
    <row r="457" spans="1:33">
      <c r="A457" s="553" t="s">
        <v>1100</v>
      </c>
      <c r="B457" s="553" t="s">
        <v>1101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</row>
    <row r="458" spans="1:33">
      <c r="A458" s="553" t="s">
        <v>1103</v>
      </c>
      <c r="B458" s="553" t="s">
        <v>1104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</row>
    <row r="459" spans="1:33">
      <c r="A459" s="553" t="s">
        <v>1105</v>
      </c>
      <c r="B459" s="553" t="s">
        <v>155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</row>
    <row r="460" spans="1:33">
      <c r="A460" s="553" t="s">
        <v>1106</v>
      </c>
      <c r="B460" s="553" t="s">
        <v>1107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</row>
    <row r="461" spans="1:33">
      <c r="A461" s="553" t="s">
        <v>1108</v>
      </c>
      <c r="B461" s="553" t="s">
        <v>440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</row>
    <row r="462" spans="1:33">
      <c r="A462" s="553" t="s">
        <v>1109</v>
      </c>
      <c r="B462" s="553" t="s">
        <v>1110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</row>
    <row r="463" spans="1:33">
      <c r="A463" s="553" t="s">
        <v>1111</v>
      </c>
      <c r="B463" s="553" t="s">
        <v>481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</row>
    <row r="464" spans="1:33">
      <c r="A464" s="553" t="s">
        <v>1112</v>
      </c>
      <c r="B464" s="553" t="s">
        <v>278</v>
      </c>
      <c r="C464" s="1">
        <v>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</row>
    <row r="465" spans="1:33">
      <c r="A465" s="553" t="s">
        <v>1114</v>
      </c>
      <c r="B465" s="553" t="s">
        <v>1115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</row>
    <row r="466" spans="1:33">
      <c r="A466" s="553" t="s">
        <v>1116</v>
      </c>
      <c r="B466" s="553" t="s">
        <v>220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</row>
    <row r="467" spans="1:33">
      <c r="A467" s="553" t="s">
        <v>1117</v>
      </c>
      <c r="B467" s="553" t="s">
        <v>1118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</row>
    <row r="468" spans="1:33">
      <c r="A468" s="553" t="s">
        <v>1119</v>
      </c>
      <c r="B468" s="553" t="s">
        <v>1120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</row>
    <row r="469" spans="1:33">
      <c r="A469" s="553" t="s">
        <v>1121</v>
      </c>
      <c r="B469" s="553" t="s">
        <v>1122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</row>
    <row r="470" spans="1:33">
      <c r="A470" s="553" t="s">
        <v>1123</v>
      </c>
      <c r="B470" s="553" t="s">
        <v>1124</v>
      </c>
      <c r="C470" s="1">
        <v>0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</row>
    <row r="471" spans="1:33">
      <c r="A471" s="553" t="s">
        <v>1125</v>
      </c>
      <c r="B471" s="553" t="s">
        <v>1126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</row>
    <row r="472" spans="1:33">
      <c r="A472" s="553" t="s">
        <v>1127</v>
      </c>
      <c r="B472" s="553" t="s">
        <v>1128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</row>
    <row r="473" spans="1:33">
      <c r="A473" s="553" t="s">
        <v>1129</v>
      </c>
      <c r="B473" s="553" t="s">
        <v>1130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</row>
    <row r="474" spans="1:33">
      <c r="A474" s="553" t="s">
        <v>1131</v>
      </c>
      <c r="B474" s="553" t="s">
        <v>1132</v>
      </c>
      <c r="C474" s="1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</row>
    <row r="475" spans="1:33">
      <c r="A475" s="553" t="s">
        <v>1133</v>
      </c>
      <c r="B475" s="553" t="s">
        <v>1134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</row>
    <row r="476" spans="1:33">
      <c r="A476" s="553" t="s">
        <v>1135</v>
      </c>
      <c r="B476" s="553" t="s">
        <v>1136</v>
      </c>
      <c r="C476" s="1">
        <v>0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</row>
    <row r="477" spans="1:33">
      <c r="A477" s="553" t="s">
        <v>1137</v>
      </c>
      <c r="B477" s="553" t="s">
        <v>1138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</row>
    <row r="478" spans="1:33">
      <c r="A478" s="553" t="s">
        <v>1139</v>
      </c>
      <c r="B478" s="553" t="s">
        <v>1140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</row>
    <row r="479" spans="1:33">
      <c r="A479" s="553" t="s">
        <v>1141</v>
      </c>
      <c r="B479" s="553" t="s">
        <v>1142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</row>
    <row r="480" spans="1:33">
      <c r="A480" s="553" t="s">
        <v>1143</v>
      </c>
      <c r="B480" s="553" t="s">
        <v>1144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</row>
    <row r="481" spans="1:33">
      <c r="A481" s="553" t="s">
        <v>1145</v>
      </c>
      <c r="B481" s="553" t="s">
        <v>1146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</row>
    <row r="482" spans="1:33">
      <c r="A482" s="553" t="s">
        <v>1147</v>
      </c>
      <c r="B482" s="553" t="s">
        <v>1148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</row>
    <row r="483" spans="1:33">
      <c r="A483" s="553" t="s">
        <v>1149</v>
      </c>
      <c r="B483" s="553" t="s">
        <v>1150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</row>
    <row r="484" spans="1:33">
      <c r="A484" s="553" t="s">
        <v>1151</v>
      </c>
      <c r="B484" s="553" t="s">
        <v>1152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</row>
    <row r="485" spans="1:33">
      <c r="A485" s="553" t="s">
        <v>1154</v>
      </c>
      <c r="B485" s="553" t="s">
        <v>1155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</row>
    <row r="486" spans="1:33">
      <c r="A486" s="553" t="s">
        <v>1157</v>
      </c>
      <c r="B486" s="553" t="s">
        <v>1158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</row>
    <row r="487" spans="1:33">
      <c r="A487" s="553" t="s">
        <v>1160</v>
      </c>
      <c r="B487" s="553" t="s">
        <v>1161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</row>
    <row r="488" spans="1:33">
      <c r="A488" s="553" t="s">
        <v>1162</v>
      </c>
      <c r="B488" s="553" t="s">
        <v>1163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</row>
    <row r="489" spans="1:33">
      <c r="A489" s="553" t="s">
        <v>1164</v>
      </c>
      <c r="B489" s="553" t="s">
        <v>1165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</row>
    <row r="490" spans="1:33">
      <c r="A490" s="553" t="s">
        <v>1166</v>
      </c>
      <c r="B490" s="553" t="s">
        <v>1167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</row>
    <row r="491" spans="1:33">
      <c r="A491" s="553" t="s">
        <v>1168</v>
      </c>
      <c r="B491" s="553" t="s">
        <v>1169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</row>
    <row r="492" spans="1:33">
      <c r="A492" s="553" t="s">
        <v>1170</v>
      </c>
      <c r="B492" s="553" t="s">
        <v>1171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</row>
    <row r="493" spans="1:33">
      <c r="A493" s="553" t="s">
        <v>1172</v>
      </c>
      <c r="B493" s="553" t="s">
        <v>1173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</row>
    <row r="494" spans="1:33">
      <c r="A494" s="553" t="s">
        <v>1174</v>
      </c>
      <c r="B494" s="553" t="s">
        <v>1175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</row>
    <row r="495" spans="1:33">
      <c r="A495" s="553" t="s">
        <v>1176</v>
      </c>
      <c r="B495" s="553" t="s">
        <v>1177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</row>
    <row r="496" spans="1:33">
      <c r="A496" s="553" t="s">
        <v>1178</v>
      </c>
      <c r="B496" s="553" t="s">
        <v>1179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</row>
    <row r="497" spans="1:33">
      <c r="A497" s="553" t="s">
        <v>1180</v>
      </c>
      <c r="B497" s="553" t="s">
        <v>1181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</row>
    <row r="498" spans="1:33">
      <c r="A498" s="553" t="s">
        <v>1182</v>
      </c>
      <c r="B498" s="553" t="s">
        <v>1183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</row>
    <row r="499" spans="1:33">
      <c r="A499" s="553" t="s">
        <v>1184</v>
      </c>
      <c r="B499" s="553" t="s">
        <v>1185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</row>
    <row r="500" spans="1:33">
      <c r="A500" s="553" t="s">
        <v>1186</v>
      </c>
      <c r="B500" s="553" t="s">
        <v>1618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</row>
    <row r="501" spans="1:33">
      <c r="A501" s="553" t="s">
        <v>1188</v>
      </c>
      <c r="B501" s="553" t="s">
        <v>1189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</row>
    <row r="502" spans="1:33">
      <c r="A502" s="553" t="s">
        <v>1190</v>
      </c>
      <c r="B502" s="553" t="s">
        <v>1191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</row>
    <row r="503" spans="1:33">
      <c r="A503" s="553" t="s">
        <v>1192</v>
      </c>
      <c r="B503" s="553" t="s">
        <v>1193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</row>
    <row r="504" spans="1:33">
      <c r="A504" s="553" t="s">
        <v>1194</v>
      </c>
      <c r="B504" s="553" t="s">
        <v>1195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</row>
    <row r="505" spans="1:33">
      <c r="A505" s="553" t="s">
        <v>1196</v>
      </c>
      <c r="B505" s="553" t="s">
        <v>1197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</row>
    <row r="506" spans="1:33">
      <c r="A506" s="553" t="s">
        <v>1198</v>
      </c>
      <c r="B506" s="553" t="s">
        <v>1199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</row>
    <row r="507" spans="1:33">
      <c r="A507" s="553" t="s">
        <v>1200</v>
      </c>
      <c r="B507" s="553" t="s">
        <v>1201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</row>
    <row r="508" spans="1:33">
      <c r="A508" s="553" t="s">
        <v>1203</v>
      </c>
      <c r="B508" s="553" t="s">
        <v>1204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</row>
    <row r="509" spans="1:33">
      <c r="A509" s="553" t="s">
        <v>1205</v>
      </c>
      <c r="B509" s="553" t="s">
        <v>1206</v>
      </c>
      <c r="C509" s="1">
        <v>-500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-500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</row>
    <row r="510" spans="1:33">
      <c r="A510" s="553" t="s">
        <v>1207</v>
      </c>
      <c r="B510" s="553" t="s">
        <v>1208</v>
      </c>
      <c r="C510" s="1">
        <v>-500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-500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</row>
    <row r="511" spans="1:33">
      <c r="A511" s="553" t="s">
        <v>1210</v>
      </c>
      <c r="B511" s="553" t="s">
        <v>1211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</row>
    <row r="512" spans="1:33">
      <c r="A512" s="553" t="s">
        <v>1212</v>
      </c>
      <c r="B512" s="553" t="s">
        <v>1622</v>
      </c>
      <c r="C512" s="1">
        <v>-164079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-27470</v>
      </c>
      <c r="Y512" s="1">
        <v>0</v>
      </c>
      <c r="Z512" s="1">
        <v>0</v>
      </c>
      <c r="AA512" s="1">
        <v>0</v>
      </c>
      <c r="AB512" s="1">
        <v>-136609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</row>
    <row r="513" spans="1:33">
      <c r="A513" s="553" t="s">
        <v>1214</v>
      </c>
      <c r="B513" s="553" t="s">
        <v>1623</v>
      </c>
      <c r="C513" s="1">
        <v>-46474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-8793</v>
      </c>
      <c r="Y513" s="1">
        <v>0</v>
      </c>
      <c r="Z513" s="1">
        <v>0</v>
      </c>
      <c r="AA513" s="1">
        <v>0</v>
      </c>
      <c r="AB513" s="1">
        <v>-37681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</row>
    <row r="514" spans="1:33">
      <c r="A514" s="553" t="s">
        <v>1216</v>
      </c>
      <c r="B514" s="553" t="s">
        <v>1217</v>
      </c>
      <c r="C514" s="1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</row>
    <row r="515" spans="1:33">
      <c r="A515" s="553" t="s">
        <v>1218</v>
      </c>
      <c r="B515" s="553" t="s">
        <v>1219</v>
      </c>
      <c r="C515" s="1">
        <v>-5869.56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-1704.06</v>
      </c>
      <c r="Y515" s="1">
        <v>0</v>
      </c>
      <c r="Z515" s="1">
        <v>0</v>
      </c>
      <c r="AA515" s="1">
        <v>0</v>
      </c>
      <c r="AB515" s="1">
        <v>-4165.5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</row>
    <row r="516" spans="1:33">
      <c r="A516" s="553" t="s">
        <v>1220</v>
      </c>
      <c r="B516" s="553" t="s">
        <v>1221</v>
      </c>
      <c r="C516" s="1">
        <v>-16238.16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-11094.79</v>
      </c>
      <c r="Y516" s="1">
        <v>0</v>
      </c>
      <c r="Z516" s="1">
        <v>0</v>
      </c>
      <c r="AA516" s="1">
        <v>0</v>
      </c>
      <c r="AB516" s="1">
        <v>-5143.37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</row>
    <row r="517" spans="1:33">
      <c r="A517" s="553" t="s">
        <v>1222</v>
      </c>
      <c r="B517" s="553" t="s">
        <v>1223</v>
      </c>
      <c r="C517" s="1">
        <v>-89370.91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-9112.06</v>
      </c>
      <c r="Y517" s="1">
        <v>0</v>
      </c>
      <c r="Z517" s="1">
        <v>0</v>
      </c>
      <c r="AA517" s="1">
        <v>0</v>
      </c>
      <c r="AB517" s="1">
        <v>-80258.850000000006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</row>
    <row r="518" spans="1:33">
      <c r="A518" s="553" t="s">
        <v>1224</v>
      </c>
      <c r="B518" s="553" t="s">
        <v>1624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</row>
    <row r="519" spans="1:33">
      <c r="A519" s="553" t="s">
        <v>1226</v>
      </c>
      <c r="B519" s="553" t="s">
        <v>1225</v>
      </c>
      <c r="C519" s="1">
        <v>-100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-100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</row>
    <row r="520" spans="1:33">
      <c r="A520" s="553" t="s">
        <v>1228</v>
      </c>
      <c r="B520" s="553" t="s">
        <v>1229</v>
      </c>
      <c r="C520" s="1">
        <v>-322131.63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-58273.91</v>
      </c>
      <c r="Y520" s="1">
        <v>0</v>
      </c>
      <c r="Z520" s="1">
        <v>0</v>
      </c>
      <c r="AA520" s="1">
        <v>0</v>
      </c>
      <c r="AB520" s="1">
        <v>-263857.71999999997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</row>
    <row r="521" spans="1:33">
      <c r="A521" s="553" t="s">
        <v>1231</v>
      </c>
      <c r="B521" s="553" t="s">
        <v>1232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</row>
    <row r="522" spans="1:33">
      <c r="A522" s="553" t="s">
        <v>1233</v>
      </c>
      <c r="B522" s="553" t="s">
        <v>1234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</row>
    <row r="523" spans="1:33">
      <c r="A523" s="553" t="s">
        <v>1235</v>
      </c>
      <c r="B523" s="553" t="s">
        <v>1236</v>
      </c>
      <c r="C523" s="1">
        <v>0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</row>
    <row r="524" spans="1:33">
      <c r="A524" s="553" t="s">
        <v>1237</v>
      </c>
      <c r="B524" s="553" t="s">
        <v>1238</v>
      </c>
      <c r="C524" s="1">
        <v>0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</row>
    <row r="525" spans="1:33">
      <c r="A525" s="553" t="s">
        <v>1239</v>
      </c>
      <c r="B525" s="553" t="s">
        <v>1240</v>
      </c>
      <c r="C525" s="1">
        <v>506782.74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506782.74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</row>
    <row r="526" spans="1:33">
      <c r="A526" s="553" t="s">
        <v>1241</v>
      </c>
      <c r="B526" s="553" t="s">
        <v>1242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</row>
    <row r="527" spans="1:33">
      <c r="A527" s="553" t="s">
        <v>1243</v>
      </c>
      <c r="B527" s="553" t="s">
        <v>1244</v>
      </c>
      <c r="C527" s="1">
        <v>0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</row>
    <row r="528" spans="1:33">
      <c r="A528" s="553" t="s">
        <v>1245</v>
      </c>
      <c r="B528" s="553" t="s">
        <v>1246</v>
      </c>
      <c r="C528" s="1">
        <v>3711.21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3711.21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</row>
    <row r="529" spans="1:33">
      <c r="A529" s="553" t="s">
        <v>1247</v>
      </c>
      <c r="B529" s="553" t="s">
        <v>1248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</row>
    <row r="530" spans="1:33">
      <c r="A530" s="553" t="s">
        <v>1249</v>
      </c>
      <c r="B530" s="553" t="s">
        <v>1250</v>
      </c>
      <c r="C530" s="1">
        <v>510493.95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510493.95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</row>
    <row r="531" spans="1:33">
      <c r="A531" s="553" t="s">
        <v>1252</v>
      </c>
      <c r="B531" s="553" t="s">
        <v>1253</v>
      </c>
      <c r="C531" s="1">
        <v>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</row>
    <row r="532" spans="1:33">
      <c r="A532" s="553" t="s">
        <v>1254</v>
      </c>
      <c r="B532" s="553" t="s">
        <v>155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</row>
    <row r="533" spans="1:33">
      <c r="A533" s="553" t="s">
        <v>1255</v>
      </c>
      <c r="B533" s="553" t="s">
        <v>1256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</row>
    <row r="534" spans="1:33">
      <c r="A534" s="553" t="s">
        <v>1257</v>
      </c>
      <c r="B534" s="553" t="s">
        <v>1258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</row>
    <row r="535" spans="1:33">
      <c r="A535" s="553" t="s">
        <v>1259</v>
      </c>
      <c r="B535" s="553" t="s">
        <v>1260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</row>
    <row r="536" spans="1:33">
      <c r="A536" s="553" t="s">
        <v>1261</v>
      </c>
      <c r="B536" s="553" t="s">
        <v>1262</v>
      </c>
      <c r="C536" s="1">
        <v>0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</row>
    <row r="537" spans="1:33">
      <c r="A537" s="553" t="s">
        <v>1263</v>
      </c>
      <c r="B537" s="553" t="s">
        <v>1264</v>
      </c>
      <c r="C537" s="1">
        <v>0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</row>
    <row r="538" spans="1:33">
      <c r="A538" s="553" t="s">
        <v>1265</v>
      </c>
      <c r="B538" s="553" t="s">
        <v>1625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</row>
    <row r="539" spans="1:33">
      <c r="A539" s="553" t="s">
        <v>1267</v>
      </c>
      <c r="B539" s="553" t="s">
        <v>1268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</row>
    <row r="540" spans="1:33">
      <c r="A540" s="553" t="s">
        <v>1269</v>
      </c>
      <c r="B540" s="553" t="s">
        <v>1270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</row>
    <row r="541" spans="1:33">
      <c r="A541" s="553" t="s">
        <v>1272</v>
      </c>
      <c r="B541" s="553" t="s">
        <v>189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</row>
    <row r="542" spans="1:33">
      <c r="A542" s="553" t="s">
        <v>1273</v>
      </c>
      <c r="B542" s="553" t="s">
        <v>1110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</row>
    <row r="543" spans="1:33">
      <c r="A543" s="553" t="s">
        <v>1274</v>
      </c>
      <c r="B543" s="553" t="s">
        <v>1275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</row>
    <row r="544" spans="1:33">
      <c r="A544" s="553" t="s">
        <v>1276</v>
      </c>
      <c r="B544" s="553" t="s">
        <v>1277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</row>
    <row r="545" spans="1:33">
      <c r="A545" s="553" t="s">
        <v>1278</v>
      </c>
      <c r="B545" s="553" t="s">
        <v>1279</v>
      </c>
      <c r="C545" s="1">
        <v>0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</row>
    <row r="546" spans="1:33">
      <c r="A546" s="553" t="s">
        <v>1280</v>
      </c>
      <c r="B546" s="553" t="s">
        <v>1281</v>
      </c>
      <c r="C546" s="1">
        <v>0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</row>
    <row r="547" spans="1:33">
      <c r="A547" s="553" t="s">
        <v>1282</v>
      </c>
      <c r="B547" s="553" t="s">
        <v>251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</row>
    <row r="548" spans="1:33">
      <c r="A548" s="553" t="s">
        <v>1284</v>
      </c>
      <c r="B548" s="553" t="s">
        <v>278</v>
      </c>
      <c r="C548" s="1">
        <v>0</v>
      </c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</row>
    <row r="549" spans="1:33">
      <c r="A549" s="553" t="s">
        <v>1286</v>
      </c>
      <c r="B549" s="553" t="s">
        <v>281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</row>
    <row r="550" spans="1:33">
      <c r="A550" s="553" t="s">
        <v>1287</v>
      </c>
      <c r="B550" s="553" t="s">
        <v>1288</v>
      </c>
      <c r="C550" s="1">
        <v>0</v>
      </c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</row>
    <row r="551" spans="1:33">
      <c r="A551" s="553" t="s">
        <v>1289</v>
      </c>
      <c r="B551" s="553" t="s">
        <v>47</v>
      </c>
      <c r="C551" s="1">
        <v>0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</row>
    <row r="552" spans="1:33">
      <c r="A552" s="553" t="s">
        <v>1290</v>
      </c>
      <c r="B552" s="553" t="s">
        <v>1291</v>
      </c>
      <c r="C552" s="1">
        <v>0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</row>
    <row r="553" spans="1:33">
      <c r="A553" s="553" t="s">
        <v>1292</v>
      </c>
      <c r="B553" s="553" t="s">
        <v>1293</v>
      </c>
      <c r="C553" s="1">
        <v>0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</row>
    <row r="554" spans="1:33">
      <c r="A554" s="553" t="s">
        <v>1294</v>
      </c>
      <c r="B554" s="553" t="s">
        <v>1295</v>
      </c>
      <c r="C554" s="1">
        <v>0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</row>
    <row r="555" spans="1:33">
      <c r="A555" s="553" t="s">
        <v>1296</v>
      </c>
      <c r="B555" s="553" t="s">
        <v>1297</v>
      </c>
      <c r="C555" s="1">
        <v>0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</row>
    <row r="556" spans="1:33">
      <c r="A556" s="553" t="s">
        <v>1298</v>
      </c>
      <c r="B556" s="553" t="s">
        <v>1299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</row>
    <row r="557" spans="1:33">
      <c r="A557" s="553" t="s">
        <v>1300</v>
      </c>
      <c r="B557" s="553" t="s">
        <v>1301</v>
      </c>
      <c r="C557" s="1">
        <v>0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</row>
    <row r="558" spans="1:33">
      <c r="A558" s="553" t="s">
        <v>1302</v>
      </c>
      <c r="B558" s="553" t="s">
        <v>1303</v>
      </c>
      <c r="C558" s="1">
        <v>0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</row>
    <row r="559" spans="1:33">
      <c r="A559" s="553" t="s">
        <v>1304</v>
      </c>
      <c r="B559" s="553" t="s">
        <v>664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</row>
    <row r="560" spans="1:33">
      <c r="A560" s="553" t="s">
        <v>1305</v>
      </c>
      <c r="B560" s="553" t="s">
        <v>1306</v>
      </c>
      <c r="C560" s="1">
        <v>0</v>
      </c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</row>
    <row r="561" spans="1:33">
      <c r="A561" s="553" t="s">
        <v>1307</v>
      </c>
      <c r="B561" s="553" t="s">
        <v>1628</v>
      </c>
      <c r="C561" s="1">
        <v>0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</row>
    <row r="562" spans="1:33">
      <c r="A562" s="553" t="s">
        <v>1309</v>
      </c>
      <c r="B562" s="553" t="s">
        <v>1310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</row>
    <row r="563" spans="1:33">
      <c r="A563" s="553" t="s">
        <v>1311</v>
      </c>
      <c r="B563" s="553" t="s">
        <v>1312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</row>
    <row r="564" spans="1:33">
      <c r="A564" s="553" t="s">
        <v>1313</v>
      </c>
      <c r="B564" s="553" t="s">
        <v>1314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</row>
    <row r="565" spans="1:33">
      <c r="A565" s="553" t="s">
        <v>1315</v>
      </c>
      <c r="B565" s="553" t="s">
        <v>1316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</row>
    <row r="566" spans="1:33">
      <c r="A566" s="553" t="s">
        <v>1317</v>
      </c>
      <c r="B566" s="553" t="s">
        <v>1318</v>
      </c>
      <c r="C566" s="1">
        <v>0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</row>
    <row r="567" spans="1:33">
      <c r="A567" s="553" t="s">
        <v>1319</v>
      </c>
      <c r="B567" s="553" t="s">
        <v>1320</v>
      </c>
      <c r="C567" s="1">
        <v>0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</row>
    <row r="568" spans="1:33">
      <c r="A568" s="553" t="s">
        <v>1322</v>
      </c>
      <c r="B568" s="553" t="s">
        <v>1323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</row>
    <row r="569" spans="1:33">
      <c r="A569" s="553" t="s">
        <v>1324</v>
      </c>
      <c r="B569" s="553" t="s">
        <v>1325</v>
      </c>
      <c r="C569" s="1">
        <v>0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</row>
    <row r="570" spans="1:33">
      <c r="A570" s="553" t="s">
        <v>1326</v>
      </c>
      <c r="B570" s="553" t="s">
        <v>1327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</row>
    <row r="571" spans="1:33">
      <c r="A571" s="553" t="s">
        <v>1328</v>
      </c>
      <c r="B571" s="553" t="s">
        <v>1329</v>
      </c>
      <c r="C571" s="1">
        <v>0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</row>
    <row r="572" spans="1:33">
      <c r="A572" s="553" t="s">
        <v>1330</v>
      </c>
      <c r="B572" s="553" t="s">
        <v>1331</v>
      </c>
      <c r="C572" s="1">
        <v>0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</row>
    <row r="573" spans="1:33">
      <c r="A573" s="553" t="s">
        <v>1332</v>
      </c>
      <c r="B573" s="553" t="s">
        <v>1333</v>
      </c>
      <c r="C573" s="1">
        <v>0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</row>
    <row r="574" spans="1:33">
      <c r="A574" s="553" t="s">
        <v>1335</v>
      </c>
      <c r="B574" s="553" t="s">
        <v>1336</v>
      </c>
      <c r="C574" s="1">
        <v>0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</row>
    <row r="575" spans="1:33">
      <c r="A575" s="553" t="s">
        <v>1337</v>
      </c>
      <c r="B575" s="553" t="s">
        <v>1338</v>
      </c>
      <c r="C575" s="1">
        <v>0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</row>
    <row r="576" spans="1:33">
      <c r="A576" s="553" t="s">
        <v>1339</v>
      </c>
      <c r="B576" s="553" t="s">
        <v>1340</v>
      </c>
      <c r="C576" s="1">
        <v>0</v>
      </c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</row>
    <row r="577" spans="1:33">
      <c r="A577" s="553" t="s">
        <v>1341</v>
      </c>
      <c r="B577" s="553" t="s">
        <v>1342</v>
      </c>
      <c r="C577" s="1">
        <v>0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</row>
    <row r="578" spans="1:33">
      <c r="A578" s="553" t="s">
        <v>1343</v>
      </c>
      <c r="B578" s="553" t="s">
        <v>1344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</row>
    <row r="579" spans="1:33">
      <c r="A579" s="553" t="s">
        <v>1345</v>
      </c>
      <c r="B579" s="553" t="s">
        <v>1346</v>
      </c>
      <c r="C579" s="1">
        <v>0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</row>
    <row r="580" spans="1:33">
      <c r="A580" s="553" t="s">
        <v>1347</v>
      </c>
      <c r="B580" s="553" t="s">
        <v>1348</v>
      </c>
      <c r="C580" s="1">
        <v>0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</row>
    <row r="581" spans="1:33">
      <c r="A581" s="553" t="s">
        <v>1349</v>
      </c>
      <c r="B581" s="553" t="s">
        <v>1350</v>
      </c>
      <c r="C581" s="1">
        <v>0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</row>
    <row r="582" spans="1:33">
      <c r="A582" s="553" t="s">
        <v>1351</v>
      </c>
      <c r="B582" s="553" t="s">
        <v>1352</v>
      </c>
      <c r="C582" s="1">
        <v>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</row>
    <row r="583" spans="1:33">
      <c r="A583" s="553" t="s">
        <v>1353</v>
      </c>
      <c r="B583" s="553" t="s">
        <v>1354</v>
      </c>
      <c r="C583" s="1">
        <v>0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</row>
    <row r="584" spans="1:33">
      <c r="A584" s="553" t="s">
        <v>1355</v>
      </c>
      <c r="B584" s="553" t="s">
        <v>1356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</row>
    <row r="585" spans="1:33">
      <c r="A585" s="553" t="s">
        <v>1357</v>
      </c>
      <c r="B585" s="553" t="s">
        <v>1358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</row>
    <row r="586" spans="1:33">
      <c r="A586" s="553" t="s">
        <v>1359</v>
      </c>
      <c r="B586" s="553" t="s">
        <v>1360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</row>
    <row r="587" spans="1:33">
      <c r="A587" s="553" t="s">
        <v>1361</v>
      </c>
      <c r="B587" s="553" t="s">
        <v>1362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</row>
    <row r="588" spans="1:33">
      <c r="A588" s="553" t="s">
        <v>1363</v>
      </c>
      <c r="B588" s="553" t="s">
        <v>1364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</row>
    <row r="589" spans="1:33">
      <c r="A589" s="553" t="s">
        <v>1365</v>
      </c>
      <c r="B589" s="553" t="s">
        <v>1366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</row>
    <row r="590" spans="1:33">
      <c r="A590" s="553" t="s">
        <v>1367</v>
      </c>
      <c r="B590" s="553" t="s">
        <v>495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</row>
    <row r="591" spans="1:33">
      <c r="A591" s="553" t="s">
        <v>1368</v>
      </c>
      <c r="B591" s="553" t="s">
        <v>1369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</row>
    <row r="592" spans="1:33">
      <c r="A592" s="553" t="s">
        <v>1370</v>
      </c>
      <c r="B592" s="553" t="s">
        <v>1301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</row>
    <row r="593" spans="1:33">
      <c r="A593" s="553" t="s">
        <v>1371</v>
      </c>
      <c r="B593" s="553" t="s">
        <v>1372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</row>
    <row r="594" spans="1:33">
      <c r="A594" s="553" t="s">
        <v>1373</v>
      </c>
      <c r="B594" s="553" t="s">
        <v>1374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</row>
    <row r="595" spans="1:33">
      <c r="A595" s="553" t="s">
        <v>1376</v>
      </c>
      <c r="B595" s="553" t="s">
        <v>1377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</row>
    <row r="596" spans="1:33">
      <c r="A596" s="553" t="s">
        <v>1378</v>
      </c>
      <c r="B596" s="553" t="s">
        <v>1379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</row>
    <row r="597" spans="1:33">
      <c r="A597" s="553" t="s">
        <v>1380</v>
      </c>
      <c r="B597" s="553" t="s">
        <v>1381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</row>
    <row r="598" spans="1:33">
      <c r="A598" s="553" t="s">
        <v>1383</v>
      </c>
      <c r="B598" s="553" t="s">
        <v>1384</v>
      </c>
      <c r="C598" s="1">
        <v>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</row>
    <row r="599" spans="1:33">
      <c r="A599" s="553" t="s">
        <v>1385</v>
      </c>
      <c r="B599" s="553" t="s">
        <v>1386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</row>
    <row r="600" spans="1:33">
      <c r="A600" s="553" t="s">
        <v>1387</v>
      </c>
      <c r="B600" s="553" t="s">
        <v>1388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</row>
    <row r="601" spans="1:33">
      <c r="A601" s="553" t="s">
        <v>1389</v>
      </c>
      <c r="B601" s="553" t="s">
        <v>1390</v>
      </c>
      <c r="C601" s="1">
        <v>0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</row>
    <row r="602" spans="1:33">
      <c r="A602" s="553" t="s">
        <v>1391</v>
      </c>
      <c r="B602" s="553" t="s">
        <v>1392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</row>
    <row r="603" spans="1:33">
      <c r="A603" s="553" t="s">
        <v>1394</v>
      </c>
      <c r="B603" s="553" t="s">
        <v>1152</v>
      </c>
      <c r="C603" s="1">
        <v>0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</row>
    <row r="604" spans="1:33">
      <c r="A604" s="553" t="s">
        <v>1396</v>
      </c>
      <c r="B604" s="553" t="s">
        <v>1397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</row>
    <row r="605" spans="1:33">
      <c r="A605" s="553" t="s">
        <v>1399</v>
      </c>
      <c r="B605" s="553" t="s">
        <v>1400</v>
      </c>
      <c r="C605" s="1">
        <v>0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</row>
    <row r="606" spans="1:33">
      <c r="A606" s="553" t="s">
        <v>1401</v>
      </c>
      <c r="B606" s="553" t="s">
        <v>1402</v>
      </c>
      <c r="C606" s="1">
        <v>-4411.33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-4204.8</v>
      </c>
      <c r="AC606" s="1">
        <v>0</v>
      </c>
      <c r="AD606" s="1">
        <v>0</v>
      </c>
      <c r="AE606" s="1">
        <v>0</v>
      </c>
      <c r="AF606" s="1">
        <v>-206.53</v>
      </c>
      <c r="AG606" s="1">
        <v>0</v>
      </c>
    </row>
    <row r="607" spans="1:33">
      <c r="A607" s="553" t="s">
        <v>1403</v>
      </c>
      <c r="B607" s="553" t="s">
        <v>1404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</row>
    <row r="608" spans="1:33">
      <c r="A608" s="553" t="s">
        <v>1405</v>
      </c>
      <c r="B608" s="553" t="s">
        <v>1406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</row>
    <row r="609" spans="1:33">
      <c r="A609" s="553" t="s">
        <v>1407</v>
      </c>
      <c r="B609" s="553" t="s">
        <v>1408</v>
      </c>
      <c r="C609" s="1">
        <v>-4411.33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-4204.8</v>
      </c>
      <c r="AC609" s="1">
        <v>0</v>
      </c>
      <c r="AD609" s="1">
        <v>0</v>
      </c>
      <c r="AE609" s="1">
        <v>0</v>
      </c>
      <c r="AF609" s="1">
        <v>-206.53</v>
      </c>
      <c r="AG609" s="1">
        <v>0</v>
      </c>
    </row>
    <row r="610" spans="1:33">
      <c r="A610" s="553" t="s">
        <v>1410</v>
      </c>
      <c r="B610" s="553" t="s">
        <v>1411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</row>
    <row r="611" spans="1:33">
      <c r="A611" s="553" t="s">
        <v>1412</v>
      </c>
      <c r="B611" s="553" t="s">
        <v>1413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</row>
    <row r="612" spans="1:33">
      <c r="A612" s="553" t="s">
        <v>1414</v>
      </c>
      <c r="B612" s="553" t="s">
        <v>1415</v>
      </c>
      <c r="C612" s="1">
        <v>4295.49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4295.49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</row>
    <row r="613" spans="1:33">
      <c r="A613" s="553" t="s">
        <v>1416</v>
      </c>
      <c r="B613" s="553" t="s">
        <v>1417</v>
      </c>
      <c r="C613" s="1">
        <v>0</v>
      </c>
      <c r="D613" s="1">
        <v>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</row>
    <row r="614" spans="1:33">
      <c r="A614" s="553" t="s">
        <v>1418</v>
      </c>
      <c r="B614" s="553" t="s">
        <v>515</v>
      </c>
      <c r="C614" s="1">
        <v>-15618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22192.25</v>
      </c>
      <c r="Y614" s="1">
        <v>0</v>
      </c>
      <c r="Z614" s="1">
        <v>0</v>
      </c>
      <c r="AA614" s="1">
        <v>0</v>
      </c>
      <c r="AB614" s="1">
        <v>-37810.25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</row>
    <row r="615" spans="1:33">
      <c r="A615" s="553" t="s">
        <v>1629</v>
      </c>
      <c r="B615" s="553" t="s">
        <v>1630</v>
      </c>
      <c r="C615" s="1">
        <v>0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</row>
    <row r="616" spans="1:33">
      <c r="A616" s="553" t="s">
        <v>1631</v>
      </c>
      <c r="B616" s="553" t="s">
        <v>1632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</row>
    <row r="617" spans="1:33">
      <c r="A617" s="553" t="s">
        <v>1419</v>
      </c>
      <c r="B617" s="553" t="s">
        <v>1420</v>
      </c>
      <c r="C617" s="1">
        <v>-11322.51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22192.25</v>
      </c>
      <c r="Y617" s="1">
        <v>0</v>
      </c>
      <c r="Z617" s="1">
        <v>0</v>
      </c>
      <c r="AA617" s="1">
        <v>0</v>
      </c>
      <c r="AB617" s="1">
        <v>-33514.76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</row>
    <row r="618" spans="1:33">
      <c r="A618" s="553" t="s">
        <v>1422</v>
      </c>
      <c r="B618" s="553" t="s">
        <v>1423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</row>
    <row r="619" spans="1:33">
      <c r="A619" s="553" t="s">
        <v>1424</v>
      </c>
      <c r="B619" s="553" t="s">
        <v>1425</v>
      </c>
      <c r="C619" s="1">
        <v>-122119.48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-26312.400000000001</v>
      </c>
      <c r="Y619" s="1">
        <v>0</v>
      </c>
      <c r="Z619" s="1">
        <v>0</v>
      </c>
      <c r="AA619" s="1">
        <v>0</v>
      </c>
      <c r="AB619" s="1">
        <v>-95807.08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</row>
    <row r="620" spans="1:33">
      <c r="A620" s="553" t="s">
        <v>1426</v>
      </c>
      <c r="B620" s="553" t="s">
        <v>1427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</row>
    <row r="621" spans="1:33">
      <c r="A621" s="553" t="s">
        <v>1428</v>
      </c>
      <c r="B621" s="553" t="s">
        <v>1429</v>
      </c>
      <c r="C621" s="1">
        <v>100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100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</row>
    <row r="622" spans="1:33">
      <c r="A622" s="553" t="s">
        <v>1430</v>
      </c>
      <c r="B622" s="553" t="s">
        <v>1431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</row>
    <row r="623" spans="1:33">
      <c r="A623" s="553" t="s">
        <v>1432</v>
      </c>
      <c r="B623" s="553" t="s">
        <v>1433</v>
      </c>
      <c r="C623" s="1">
        <v>0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</row>
    <row r="624" spans="1:33">
      <c r="A624" s="553" t="s">
        <v>1434</v>
      </c>
      <c r="B624" s="553" t="s">
        <v>1435</v>
      </c>
      <c r="C624" s="1">
        <v>0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</row>
    <row r="625" spans="1:33">
      <c r="A625" s="553" t="s">
        <v>1436</v>
      </c>
      <c r="B625" s="553" t="s">
        <v>1437</v>
      </c>
      <c r="C625" s="1">
        <v>157082.5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121200</v>
      </c>
      <c r="Y625" s="1">
        <v>0</v>
      </c>
      <c r="Z625" s="1">
        <v>0</v>
      </c>
      <c r="AA625" s="1">
        <v>0</v>
      </c>
      <c r="AB625" s="1">
        <v>35882.5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</row>
    <row r="626" spans="1:33">
      <c r="A626" s="553" t="s">
        <v>1438</v>
      </c>
      <c r="B626" s="553" t="s">
        <v>1439</v>
      </c>
      <c r="C626" s="1">
        <v>35063.019999999997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94887.6</v>
      </c>
      <c r="Y626" s="1">
        <v>0</v>
      </c>
      <c r="Z626" s="1">
        <v>0</v>
      </c>
      <c r="AA626" s="1">
        <v>0</v>
      </c>
      <c r="AB626" s="1">
        <v>-59824.58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</row>
    <row r="627" spans="1:33">
      <c r="A627" s="553" t="s">
        <v>1441</v>
      </c>
      <c r="B627" s="553" t="s">
        <v>1442</v>
      </c>
      <c r="C627" s="1">
        <v>207191.5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58805.94</v>
      </c>
      <c r="Y627" s="1">
        <v>0</v>
      </c>
      <c r="Z627" s="1">
        <v>0</v>
      </c>
      <c r="AA627" s="1">
        <v>0</v>
      </c>
      <c r="AB627" s="1">
        <v>148592.09</v>
      </c>
      <c r="AC627" s="1">
        <v>0</v>
      </c>
      <c r="AD627" s="1">
        <v>0</v>
      </c>
      <c r="AE627" s="1">
        <v>0</v>
      </c>
      <c r="AF627" s="1">
        <v>-206.53</v>
      </c>
      <c r="AG627" s="1">
        <v>0</v>
      </c>
    </row>
    <row r="628" spans="1:33">
      <c r="A628" s="553" t="s">
        <v>1444</v>
      </c>
      <c r="B628" s="553" t="s">
        <v>1445</v>
      </c>
      <c r="C628" s="1">
        <v>229954.21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58805.94</v>
      </c>
      <c r="Y628" s="1">
        <v>0</v>
      </c>
      <c r="Z628" s="1">
        <v>0</v>
      </c>
      <c r="AA628" s="1">
        <v>0</v>
      </c>
      <c r="AB628" s="1">
        <v>167280.66</v>
      </c>
      <c r="AC628" s="1">
        <v>0</v>
      </c>
      <c r="AD628" s="1">
        <v>0</v>
      </c>
      <c r="AE628" s="1">
        <v>0</v>
      </c>
      <c r="AF628" s="1">
        <v>3867.61</v>
      </c>
      <c r="AG628" s="1"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8DA9-4FE5-4863-876B-FDFD8B03695C}">
  <dimension ref="A2:D41"/>
  <sheetViews>
    <sheetView topLeftCell="A7" workbookViewId="0">
      <selection activeCell="G25" sqref="G25"/>
    </sheetView>
  </sheetViews>
  <sheetFormatPr baseColWidth="10" defaultColWidth="8.83203125" defaultRowHeight="14"/>
  <cols>
    <col min="1" max="1" width="29.5" customWidth="1"/>
    <col min="2" max="2" width="12.5" bestFit="1" customWidth="1"/>
    <col min="3" max="3" width="10.5" bestFit="1" customWidth="1"/>
  </cols>
  <sheetData>
    <row r="2" spans="1:3" ht="18">
      <c r="A2" s="492" t="s">
        <v>2064</v>
      </c>
    </row>
    <row r="3" spans="1:3">
      <c r="A3" s="5" t="s">
        <v>2065</v>
      </c>
      <c r="B3" s="3"/>
    </row>
    <row r="4" spans="1:3">
      <c r="A4" t="s">
        <v>1554</v>
      </c>
      <c r="B4" s="3">
        <f>Budgetopfølgning!F16</f>
        <v>642358.44999999995</v>
      </c>
    </row>
    <row r="5" spans="1:3" ht="15">
      <c r="A5" s="495" t="s">
        <v>2066</v>
      </c>
      <c r="B5" s="3">
        <f>B38+B40</f>
        <v>273283.23666666669</v>
      </c>
    </row>
    <row r="6" spans="1:3" ht="30">
      <c r="A6" s="495" t="s">
        <v>2067</v>
      </c>
      <c r="B6" s="3">
        <f>-Budgetopfølgning!G35-Budgetopfølgning!G36-Budgetopfølgning!G69</f>
        <v>457605</v>
      </c>
    </row>
    <row r="7" spans="1:3" ht="30">
      <c r="A7" s="495" t="s">
        <v>2068</v>
      </c>
      <c r="B7" s="3">
        <f>(B13+B14)-(Budgetopfølgning!G61+Budgetopfølgning!G62)</f>
        <v>173429.6399999999</v>
      </c>
    </row>
    <row r="8" spans="1:3" ht="15">
      <c r="A8" s="495" t="s">
        <v>2069</v>
      </c>
      <c r="B8" s="3">
        <f>B18</f>
        <v>100000</v>
      </c>
    </row>
    <row r="9" spans="1:3" ht="15">
      <c r="A9" s="330" t="s">
        <v>1584</v>
      </c>
      <c r="B9" s="494">
        <f>SUM(B4:B8)</f>
        <v>1646676.3266666664</v>
      </c>
    </row>
    <row r="10" spans="1:3">
      <c r="A10" s="495"/>
      <c r="B10" s="3"/>
    </row>
    <row r="11" spans="1:3">
      <c r="A11" s="5" t="s">
        <v>2070</v>
      </c>
      <c r="B11" s="3"/>
    </row>
    <row r="12" spans="1:3" ht="15">
      <c r="A12" s="495" t="s">
        <v>2071</v>
      </c>
      <c r="B12" s="3">
        <f>Budgetopfølgning!D20-Budgetopfølgning!F20</f>
        <v>1774095</v>
      </c>
    </row>
    <row r="13" spans="1:3" ht="30">
      <c r="A13" s="495" t="s">
        <v>2072</v>
      </c>
      <c r="B13" s="3">
        <v>475000</v>
      </c>
      <c r="C13" s="495"/>
    </row>
    <row r="14" spans="1:3" ht="30">
      <c r="A14" s="495" t="s">
        <v>2073</v>
      </c>
      <c r="B14" s="3">
        <v>1600000</v>
      </c>
    </row>
    <row r="15" spans="1:3" ht="26">
      <c r="A15" s="496" t="s">
        <v>2074</v>
      </c>
      <c r="B15" s="497">
        <v>360000</v>
      </c>
    </row>
    <row r="16" spans="1:3" ht="15">
      <c r="A16" s="495" t="s">
        <v>2075</v>
      </c>
      <c r="B16" s="3">
        <f>Budgetopfølgning!F68</f>
        <v>257397</v>
      </c>
    </row>
    <row r="17" spans="1:4" ht="15">
      <c r="A17" s="495" t="s">
        <v>2076</v>
      </c>
      <c r="B17" s="3">
        <f>Budgetopfølgning!G21*-1</f>
        <v>69575</v>
      </c>
    </row>
    <row r="18" spans="1:4" ht="30">
      <c r="A18" s="495" t="s">
        <v>2077</v>
      </c>
      <c r="B18" s="3">
        <v>100000</v>
      </c>
    </row>
    <row r="19" spans="1:4" ht="15">
      <c r="A19" s="495" t="s">
        <v>2078</v>
      </c>
      <c r="B19" s="3">
        <f>Budgetopfølgning!G70</f>
        <v>252525</v>
      </c>
    </row>
    <row r="20" spans="1:4" ht="15">
      <c r="A20" s="495" t="s">
        <v>2079</v>
      </c>
      <c r="B20" s="3">
        <v>84375</v>
      </c>
    </row>
    <row r="21" spans="1:4" ht="15">
      <c r="A21" s="330" t="s">
        <v>1584</v>
      </c>
      <c r="B21" s="494">
        <f>SUM(B12:B20)-B15</f>
        <v>4612967</v>
      </c>
    </row>
    <row r="22" spans="1:4">
      <c r="B22" s="3"/>
    </row>
    <row r="23" spans="1:4" ht="15">
      <c r="A23" s="330" t="s">
        <v>2080</v>
      </c>
      <c r="B23" s="494">
        <f>B9-B21</f>
        <v>-2966290.6733333338</v>
      </c>
    </row>
    <row r="24" spans="1:4">
      <c r="B24" s="3"/>
    </row>
    <row r="25" spans="1:4" ht="18">
      <c r="A25" s="492" t="s">
        <v>1554</v>
      </c>
    </row>
    <row r="26" spans="1:4">
      <c r="A26" s="491" t="s">
        <v>2081</v>
      </c>
      <c r="B26" s="491" t="s">
        <v>2082</v>
      </c>
    </row>
    <row r="27" spans="1:4">
      <c r="A27" s="490"/>
      <c r="B27">
        <v>639069.01</v>
      </c>
      <c r="D27" s="3"/>
    </row>
    <row r="28" spans="1:4">
      <c r="A28" s="490" t="s">
        <v>1288</v>
      </c>
      <c r="B28">
        <v>-234712.75999999998</v>
      </c>
    </row>
    <row r="29" spans="1:4">
      <c r="A29" s="490" t="s">
        <v>475</v>
      </c>
      <c r="B29">
        <v>-95659.57</v>
      </c>
    </row>
    <row r="30" spans="1:4">
      <c r="A30" s="490" t="s">
        <v>476</v>
      </c>
      <c r="B30">
        <v>-152005.69</v>
      </c>
    </row>
    <row r="31" spans="1:4">
      <c r="A31" s="490" t="s">
        <v>2083</v>
      </c>
      <c r="B31">
        <v>-156690.99</v>
      </c>
    </row>
    <row r="32" spans="1:4">
      <c r="A32" s="490" t="s">
        <v>2084</v>
      </c>
      <c r="B32">
        <v>0</v>
      </c>
    </row>
    <row r="33" spans="1:2">
      <c r="A33" s="490" t="s">
        <v>2085</v>
      </c>
      <c r="B33">
        <v>3289</v>
      </c>
    </row>
    <row r="34" spans="1:2">
      <c r="A34" s="534" t="s">
        <v>1584</v>
      </c>
      <c r="B34" s="535">
        <f>GETPIVOTDATA("Beløb",$A$26,"Projekter Kode","")+B33</f>
        <v>642358.01</v>
      </c>
    </row>
    <row r="36" spans="1:2" ht="16">
      <c r="A36" s="493" t="s">
        <v>2086</v>
      </c>
    </row>
    <row r="38" spans="1:2">
      <c r="A38" t="s">
        <v>2087</v>
      </c>
      <c r="B38" s="3">
        <v>257283.23666666669</v>
      </c>
    </row>
    <row r="39" spans="1:2">
      <c r="A39" t="s">
        <v>2088</v>
      </c>
      <c r="B39" s="3">
        <v>-84375</v>
      </c>
    </row>
    <row r="40" spans="1:2">
      <c r="A40" t="s">
        <v>2089</v>
      </c>
      <c r="B40" s="3">
        <v>16000</v>
      </c>
    </row>
    <row r="41" spans="1:2">
      <c r="A41" s="5" t="s">
        <v>2090</v>
      </c>
      <c r="B41" s="494">
        <f>SUM(B38:B40)</f>
        <v>188908.23666666669</v>
      </c>
    </row>
  </sheetData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6A145-4C70-47ED-B2B0-5D57E8151412}">
  <dimension ref="A1"/>
  <sheetViews>
    <sheetView workbookViewId="0"/>
  </sheetViews>
  <sheetFormatPr baseColWidth="10" defaultColWidth="8.83203125" defaultRowHeight="14"/>
  <sheetData>
    <row r="1" spans="1:1" ht="20">
      <c r="A1" s="536" t="s">
        <v>2091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DEC9E-F4CD-4F74-81C5-97D8EAE91046}">
  <dimension ref="A2:E21"/>
  <sheetViews>
    <sheetView topLeftCell="A6" workbookViewId="0">
      <selection activeCell="D12" sqref="D12"/>
    </sheetView>
  </sheetViews>
  <sheetFormatPr baseColWidth="10" defaultColWidth="8.83203125" defaultRowHeight="14"/>
  <cols>
    <col min="1" max="1" width="29" customWidth="1"/>
    <col min="4" max="4" width="8.33203125" style="3" bestFit="1" customWidth="1"/>
  </cols>
  <sheetData>
    <row r="2" spans="1:5" ht="19">
      <c r="A2" s="373" t="s">
        <v>2092</v>
      </c>
      <c r="B2" s="365"/>
      <c r="C2" s="365"/>
      <c r="D2" s="433"/>
      <c r="E2" s="365"/>
    </row>
    <row r="3" spans="1:5" ht="16">
      <c r="A3" s="365" t="s">
        <v>2093</v>
      </c>
      <c r="B3" s="365"/>
      <c r="C3" s="365"/>
      <c r="D3" s="433"/>
      <c r="E3" s="365"/>
    </row>
    <row r="4" spans="1:5" ht="16">
      <c r="A4" s="359" t="s">
        <v>3</v>
      </c>
      <c r="B4" s="365" t="s">
        <v>2094</v>
      </c>
      <c r="C4" s="365" t="s">
        <v>2095</v>
      </c>
      <c r="D4" s="433"/>
      <c r="E4" s="365"/>
    </row>
    <row r="5" spans="1:5" ht="16">
      <c r="A5" s="365" t="s">
        <v>2096</v>
      </c>
      <c r="B5" s="365">
        <v>240</v>
      </c>
      <c r="C5" s="365">
        <v>323</v>
      </c>
      <c r="D5" s="433">
        <f>B5*C5</f>
        <v>77520</v>
      </c>
      <c r="E5" s="365"/>
    </row>
    <row r="6" spans="1:5" ht="16">
      <c r="A6" s="365" t="s">
        <v>2097</v>
      </c>
      <c r="B6" s="365">
        <f>'[2]Nyborg Strand'!C48</f>
        <v>3452</v>
      </c>
      <c r="C6" s="365">
        <f>'[2]Personer til stede'!B16</f>
        <v>7</v>
      </c>
      <c r="D6" s="433">
        <f>B6*C6</f>
        <v>24164</v>
      </c>
      <c r="E6" s="365"/>
    </row>
    <row r="7" spans="1:5" ht="16">
      <c r="A7" s="359" t="s">
        <v>44</v>
      </c>
      <c r="B7" s="359"/>
      <c r="C7" s="359"/>
      <c r="D7" s="390">
        <f>SUM(D5:D6)</f>
        <v>101684</v>
      </c>
      <c r="E7" s="365"/>
    </row>
    <row r="8" spans="1:5" ht="16">
      <c r="A8" s="365"/>
      <c r="B8" s="365"/>
      <c r="C8" s="365"/>
      <c r="D8" s="433"/>
      <c r="E8" s="365"/>
    </row>
    <row r="9" spans="1:5" ht="16">
      <c r="A9" s="359" t="s">
        <v>46</v>
      </c>
      <c r="B9" s="365"/>
      <c r="C9" s="365"/>
      <c r="D9" s="433"/>
      <c r="E9" s="365"/>
    </row>
    <row r="10" spans="1:5" ht="16">
      <c r="A10" s="365" t="s">
        <v>2098</v>
      </c>
      <c r="B10" s="365"/>
      <c r="C10" s="365"/>
      <c r="D10" s="433">
        <v>193042.66</v>
      </c>
      <c r="E10" s="365"/>
    </row>
    <row r="11" spans="1:5" ht="16">
      <c r="A11" s="365" t="s">
        <v>2099</v>
      </c>
      <c r="B11" s="365"/>
      <c r="C11" s="365"/>
      <c r="D11" s="433">
        <f>'[2]Nyborg Strand'!E48</f>
        <v>137220</v>
      </c>
      <c r="E11" s="365"/>
    </row>
    <row r="12" spans="1:5" ht="16">
      <c r="A12" s="365" t="s">
        <v>2100</v>
      </c>
      <c r="B12" s="365"/>
      <c r="C12" s="365"/>
      <c r="D12" s="433">
        <v>125000</v>
      </c>
      <c r="E12" s="365"/>
    </row>
    <row r="13" spans="1:5" ht="16">
      <c r="A13" s="365" t="s">
        <v>2101</v>
      </c>
      <c r="B13" s="365"/>
      <c r="C13" s="365"/>
      <c r="D13" s="433">
        <v>5000</v>
      </c>
      <c r="E13" s="365"/>
    </row>
    <row r="14" spans="1:5" ht="16">
      <c r="A14" s="365" t="s">
        <v>2102</v>
      </c>
      <c r="B14" s="365"/>
      <c r="C14" s="365"/>
      <c r="D14" s="433">
        <v>5000</v>
      </c>
      <c r="E14" s="365"/>
    </row>
    <row r="15" spans="1:5" ht="16">
      <c r="A15" s="365" t="s">
        <v>2103</v>
      </c>
      <c r="B15" s="365"/>
      <c r="C15" s="365"/>
      <c r="D15" s="433">
        <v>10000</v>
      </c>
      <c r="E15" s="365"/>
    </row>
    <row r="16" spans="1:5" ht="16">
      <c r="A16" s="359" t="s">
        <v>2104</v>
      </c>
      <c r="B16" s="359"/>
      <c r="C16" s="359"/>
      <c r="D16" s="390">
        <f>SUM(D10:D14)</f>
        <v>465262.66000000003</v>
      </c>
      <c r="E16" s="365"/>
    </row>
    <row r="17" spans="1:5" ht="16">
      <c r="A17" s="365"/>
      <c r="B17" s="365"/>
      <c r="C17" s="365"/>
      <c r="D17" s="433"/>
      <c r="E17" s="365"/>
    </row>
    <row r="18" spans="1:5" ht="16">
      <c r="A18" s="359" t="s">
        <v>872</v>
      </c>
      <c r="B18" s="359"/>
      <c r="C18" s="359"/>
      <c r="D18" s="390">
        <f>D16-D7</f>
        <v>363578.66000000003</v>
      </c>
      <c r="E18" s="365"/>
    </row>
    <row r="19" spans="1:5" ht="16">
      <c r="A19" s="365"/>
      <c r="B19" s="365"/>
      <c r="C19" s="365"/>
      <c r="D19" s="433"/>
      <c r="E19" s="365"/>
    </row>
    <row r="20" spans="1:5">
      <c r="A20" s="199" t="s">
        <v>2105</v>
      </c>
      <c r="D20" s="3">
        <v>150000</v>
      </c>
    </row>
    <row r="21" spans="1:5">
      <c r="A21" t="s">
        <v>2106</v>
      </c>
      <c r="D21" s="3">
        <v>75000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20810-9F03-4585-B211-1BAA06F72959}">
  <dimension ref="B1:D42"/>
  <sheetViews>
    <sheetView topLeftCell="A26" workbookViewId="0">
      <selection activeCell="E39" sqref="E39"/>
    </sheetView>
  </sheetViews>
  <sheetFormatPr baseColWidth="10" defaultColWidth="9" defaultRowHeight="18"/>
  <cols>
    <col min="1" max="1" width="9" style="358"/>
    <col min="2" max="2" width="31" style="358" customWidth="1"/>
    <col min="3" max="3" width="11.5" style="358" customWidth="1"/>
    <col min="4" max="16384" width="9" style="358"/>
  </cols>
  <sheetData>
    <row r="1" spans="2:4" ht="22">
      <c r="B1" s="498" t="s">
        <v>2107</v>
      </c>
    </row>
    <row r="3" spans="2:4">
      <c r="B3" s="499" t="s">
        <v>2108</v>
      </c>
      <c r="C3" s="500">
        <v>12569.49</v>
      </c>
    </row>
    <row r="4" spans="2:4">
      <c r="B4" s="499" t="s">
        <v>2109</v>
      </c>
      <c r="C4" s="500">
        <v>-21448.59</v>
      </c>
    </row>
    <row r="5" spans="2:4">
      <c r="B5" s="499" t="s">
        <v>2110</v>
      </c>
      <c r="C5" s="500">
        <v>-8707.66</v>
      </c>
    </row>
    <row r="6" spans="2:4">
      <c r="B6" s="499" t="s">
        <v>2111</v>
      </c>
      <c r="C6" s="501">
        <v>249</v>
      </c>
    </row>
    <row r="7" spans="2:4">
      <c r="B7" s="499" t="s">
        <v>2112</v>
      </c>
      <c r="C7" s="500">
        <v>2237.83</v>
      </c>
    </row>
    <row r="8" spans="2:4">
      <c r="B8" s="499" t="s">
        <v>2113</v>
      </c>
      <c r="C8" s="500">
        <v>54034.54</v>
      </c>
    </row>
    <row r="9" spans="2:4">
      <c r="B9" s="499" t="s">
        <v>2114</v>
      </c>
      <c r="C9" s="500">
        <v>61527.97</v>
      </c>
    </row>
    <row r="10" spans="2:4">
      <c r="B10" s="499" t="s">
        <v>2115</v>
      </c>
      <c r="C10" s="500">
        <v>3338.29</v>
      </c>
    </row>
    <row r="11" spans="2:4">
      <c r="B11" s="499" t="s">
        <v>2116</v>
      </c>
      <c r="C11" s="500">
        <v>-4684.22</v>
      </c>
    </row>
    <row r="12" spans="2:4">
      <c r="B12" s="499" t="s">
        <v>2117</v>
      </c>
      <c r="C12" s="500">
        <v>160065.57999999999</v>
      </c>
    </row>
    <row r="13" spans="2:4">
      <c r="B13" s="502" t="s">
        <v>2118</v>
      </c>
      <c r="C13" s="503">
        <v>58515</v>
      </c>
    </row>
    <row r="14" spans="2:4">
      <c r="B14" s="502" t="s">
        <v>2119</v>
      </c>
      <c r="C14" s="503">
        <v>60359.38</v>
      </c>
    </row>
    <row r="15" spans="2:4">
      <c r="B15" s="502" t="s">
        <v>2120</v>
      </c>
      <c r="C15" s="503">
        <v>38850</v>
      </c>
      <c r="D15" s="436" t="s">
        <v>2121</v>
      </c>
    </row>
    <row r="16" spans="2:4">
      <c r="B16" s="502" t="s">
        <v>2122</v>
      </c>
      <c r="C16" s="503">
        <v>1230.3699999999999</v>
      </c>
    </row>
    <row r="17" spans="2:3">
      <c r="B17" s="502" t="s">
        <v>2123</v>
      </c>
      <c r="C17" s="503">
        <v>1110.83</v>
      </c>
    </row>
    <row r="18" spans="2:3">
      <c r="B18" s="499" t="s">
        <v>2124</v>
      </c>
      <c r="C18" s="500">
        <v>9162.43</v>
      </c>
    </row>
    <row r="19" spans="2:3">
      <c r="B19" s="499" t="s">
        <v>2125</v>
      </c>
      <c r="C19" s="500">
        <v>27919.96</v>
      </c>
    </row>
    <row r="20" spans="2:3">
      <c r="B20" s="499" t="s">
        <v>2126</v>
      </c>
      <c r="C20" s="500">
        <v>5912.12</v>
      </c>
    </row>
    <row r="21" spans="2:3">
      <c r="B21" s="499" t="s">
        <v>2127</v>
      </c>
      <c r="C21" s="500">
        <v>14376.73</v>
      </c>
    </row>
    <row r="22" spans="2:3">
      <c r="B22" s="499" t="s">
        <v>2128</v>
      </c>
      <c r="C22" s="500">
        <v>2966.53</v>
      </c>
    </row>
    <row r="23" spans="2:3">
      <c r="B23" s="499" t="s">
        <v>2128</v>
      </c>
      <c r="C23" s="500">
        <v>-1707.79</v>
      </c>
    </row>
    <row r="24" spans="2:3">
      <c r="B24" s="499" t="s">
        <v>2129</v>
      </c>
      <c r="C24" s="500">
        <v>10941.58</v>
      </c>
    </row>
    <row r="25" spans="2:3">
      <c r="B25" s="499" t="s">
        <v>2130</v>
      </c>
      <c r="C25" s="501">
        <v>42.62</v>
      </c>
    </row>
    <row r="26" spans="2:3">
      <c r="B26" s="499" t="s">
        <v>2131</v>
      </c>
      <c r="C26" s="500">
        <v>-12163.1</v>
      </c>
    </row>
    <row r="27" spans="2:3">
      <c r="B27" s="499" t="s">
        <v>2132</v>
      </c>
      <c r="C27" s="500">
        <v>4346.46</v>
      </c>
    </row>
    <row r="28" spans="2:3">
      <c r="B28" s="499" t="s">
        <v>2133</v>
      </c>
      <c r="C28" s="500">
        <v>-3257.3</v>
      </c>
    </row>
    <row r="29" spans="2:3">
      <c r="B29" s="499" t="s">
        <v>2134</v>
      </c>
      <c r="C29" s="500">
        <v>2690.13</v>
      </c>
    </row>
    <row r="31" spans="2:3">
      <c r="B31" s="499" t="s">
        <v>2135</v>
      </c>
      <c r="C31" s="504">
        <f>SUM(C3:C30)-C13-C14-C15-C16-C17</f>
        <v>320412.60000000009</v>
      </c>
    </row>
    <row r="32" spans="2:3">
      <c r="B32" s="358" t="s">
        <v>2136</v>
      </c>
    </row>
    <row r="37" spans="2:3" ht="22">
      <c r="B37" s="498" t="s">
        <v>2137</v>
      </c>
    </row>
    <row r="38" spans="2:3">
      <c r="B38" s="505" t="s">
        <v>2138</v>
      </c>
      <c r="C38" s="506">
        <v>-17983.93</v>
      </c>
    </row>
    <row r="39" spans="2:3">
      <c r="B39" s="505" t="s">
        <v>2139</v>
      </c>
      <c r="C39" s="506">
        <v>29669.93</v>
      </c>
    </row>
    <row r="40" spans="2:3">
      <c r="B40" s="505" t="s">
        <v>2140</v>
      </c>
      <c r="C40" s="507">
        <v>-1969.73</v>
      </c>
    </row>
    <row r="41" spans="2:3">
      <c r="B41" s="434" t="s">
        <v>2135</v>
      </c>
      <c r="C41" s="504">
        <f>SUM(C38:C40)</f>
        <v>9716.27</v>
      </c>
    </row>
    <row r="42" spans="2:3">
      <c r="B42" s="358" t="s">
        <v>2141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E6B48-4AD6-4B5A-A234-82DC51EDA2D7}">
  <dimension ref="A2:D6"/>
  <sheetViews>
    <sheetView workbookViewId="0">
      <selection activeCell="E5" sqref="E5"/>
    </sheetView>
  </sheetViews>
  <sheetFormatPr baseColWidth="10" defaultColWidth="8.5" defaultRowHeight="14"/>
  <cols>
    <col min="1" max="1" width="14.5" bestFit="1" customWidth="1"/>
  </cols>
  <sheetData>
    <row r="2" spans="1:4">
      <c r="A2" s="5" t="s">
        <v>2142</v>
      </c>
    </row>
    <row r="3" spans="1:4">
      <c r="B3" s="5">
        <v>2020</v>
      </c>
      <c r="C3" s="5">
        <v>2021</v>
      </c>
      <c r="D3" s="5">
        <v>2022</v>
      </c>
    </row>
    <row r="4" spans="1:4">
      <c r="A4" t="s">
        <v>2143</v>
      </c>
      <c r="B4">
        <f>B6/B5</f>
        <v>20500</v>
      </c>
      <c r="C4">
        <v>20000</v>
      </c>
      <c r="D4">
        <v>20000</v>
      </c>
    </row>
    <row r="5" spans="1:4">
      <c r="A5" t="s">
        <v>2144</v>
      </c>
      <c r="B5">
        <v>400</v>
      </c>
      <c r="C5" s="14">
        <v>405</v>
      </c>
      <c r="D5" s="14">
        <v>410</v>
      </c>
    </row>
    <row r="6" spans="1:4">
      <c r="A6" t="s">
        <v>2145</v>
      </c>
      <c r="B6">
        <v>8200000</v>
      </c>
      <c r="C6">
        <f>C4*C5</f>
        <v>8100000</v>
      </c>
      <c r="D6">
        <f>D4*D5</f>
        <v>8200000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273B-7745-4FEA-8B10-703470DB4DDC}">
  <dimension ref="A1:R616"/>
  <sheetViews>
    <sheetView topLeftCell="A485" workbookViewId="0">
      <selection activeCell="J515" sqref="J515"/>
    </sheetView>
  </sheetViews>
  <sheetFormatPr baseColWidth="10" defaultColWidth="8.5" defaultRowHeight="14"/>
  <cols>
    <col min="1" max="1" width="11" bestFit="1" customWidth="1"/>
    <col min="2" max="2" width="32.5" bestFit="1" customWidth="1"/>
    <col min="3" max="3" width="15.5" bestFit="1" customWidth="1"/>
    <col min="4" max="4" width="8" bestFit="1" customWidth="1"/>
    <col min="5" max="5" width="10" customWidth="1"/>
    <col min="6" max="6" width="14" bestFit="1" customWidth="1"/>
    <col min="7" max="7" width="2.5" customWidth="1"/>
    <col min="9" max="9" width="9.5" style="1" bestFit="1" customWidth="1"/>
    <col min="10" max="10" width="10.5" bestFit="1" customWidth="1"/>
    <col min="11" max="11" width="10" bestFit="1" customWidth="1"/>
    <col min="13" max="13" width="9" customWidth="1"/>
    <col min="14" max="14" width="31" bestFit="1" customWidth="1"/>
    <col min="15" max="17" width="13" bestFit="1" customWidth="1"/>
    <col min="18" max="18" width="11.5" bestFit="1" customWidth="1"/>
  </cols>
  <sheetData>
    <row r="1" spans="1:10" ht="16">
      <c r="A1" s="137" t="s">
        <v>146</v>
      </c>
      <c r="B1" s="136"/>
      <c r="C1" s="136"/>
      <c r="D1" s="136"/>
      <c r="E1" s="136"/>
      <c r="F1" s="125">
        <v>43830</v>
      </c>
      <c r="G1" s="136"/>
    </row>
    <row r="2" spans="1:10" ht="48">
      <c r="A2" s="138" t="s">
        <v>147</v>
      </c>
      <c r="B2" s="138" t="s">
        <v>148</v>
      </c>
      <c r="C2" s="138" t="s">
        <v>149</v>
      </c>
      <c r="D2" s="138" t="s">
        <v>150</v>
      </c>
      <c r="E2" s="138" t="s">
        <v>151</v>
      </c>
      <c r="F2" s="138" t="s">
        <v>152</v>
      </c>
      <c r="G2" s="138" t="s">
        <v>153</v>
      </c>
      <c r="J2" s="138" t="s">
        <v>433</v>
      </c>
    </row>
    <row r="3" spans="1:10">
      <c r="A3" s="139" t="s">
        <v>154</v>
      </c>
      <c r="B3" s="139" t="s">
        <v>155</v>
      </c>
      <c r="C3" s="139" t="s">
        <v>156</v>
      </c>
      <c r="D3" s="139" t="s">
        <v>157</v>
      </c>
      <c r="E3" s="139" t="s">
        <v>100</v>
      </c>
      <c r="F3" s="115">
        <v>0</v>
      </c>
      <c r="G3" s="140">
        <v>0</v>
      </c>
      <c r="H3" s="126"/>
      <c r="I3" s="143"/>
      <c r="J3" s="32"/>
    </row>
    <row r="4" spans="1:10">
      <c r="A4" s="139" t="s">
        <v>158</v>
      </c>
      <c r="B4" s="139" t="s">
        <v>159</v>
      </c>
      <c r="C4" s="139" t="s">
        <v>156</v>
      </c>
      <c r="D4" s="139" t="s">
        <v>157</v>
      </c>
      <c r="E4" s="139" t="s">
        <v>100</v>
      </c>
      <c r="F4" s="115">
        <v>0</v>
      </c>
      <c r="G4" s="140">
        <v>0</v>
      </c>
      <c r="H4" s="126"/>
      <c r="I4" s="143"/>
      <c r="J4" s="32"/>
    </row>
    <row r="5" spans="1:10">
      <c r="A5" s="139" t="s">
        <v>160</v>
      </c>
      <c r="B5" s="139" t="s">
        <v>161</v>
      </c>
      <c r="C5" s="139" t="s">
        <v>156</v>
      </c>
      <c r="D5" s="139" t="s">
        <v>162</v>
      </c>
      <c r="E5" s="139" t="s">
        <v>100</v>
      </c>
      <c r="F5" s="115">
        <v>-7601295</v>
      </c>
      <c r="G5" s="140">
        <v>-7601295</v>
      </c>
      <c r="H5" s="126"/>
      <c r="I5" s="143"/>
      <c r="J5" s="32">
        <v>-7601295</v>
      </c>
    </row>
    <row r="6" spans="1:10">
      <c r="A6" s="139" t="s">
        <v>163</v>
      </c>
      <c r="B6" s="139" t="s">
        <v>164</v>
      </c>
      <c r="C6" s="139" t="s">
        <v>156</v>
      </c>
      <c r="D6" s="139" t="s">
        <v>162</v>
      </c>
      <c r="E6" s="139" t="s">
        <v>100</v>
      </c>
      <c r="F6" s="115">
        <v>-134293.75</v>
      </c>
      <c r="G6" s="140">
        <v>-134293.75</v>
      </c>
      <c r="H6" s="126"/>
      <c r="I6" s="143"/>
      <c r="J6" s="32">
        <v>-134294</v>
      </c>
    </row>
    <row r="7" spans="1:10">
      <c r="A7" s="139" t="s">
        <v>165</v>
      </c>
      <c r="B7" s="139" t="s">
        <v>166</v>
      </c>
      <c r="C7" s="139" t="s">
        <v>156</v>
      </c>
      <c r="D7" s="139" t="s">
        <v>162</v>
      </c>
      <c r="E7" s="139" t="s">
        <v>100</v>
      </c>
      <c r="F7" s="115">
        <v>-36381.81</v>
      </c>
      <c r="G7" s="140">
        <v>-40961.14</v>
      </c>
      <c r="H7" s="126"/>
      <c r="I7" s="143"/>
      <c r="J7" s="32">
        <v>-36382</v>
      </c>
    </row>
    <row r="8" spans="1:10">
      <c r="A8" s="139" t="s">
        <v>167</v>
      </c>
      <c r="B8" s="139" t="s">
        <v>168</v>
      </c>
      <c r="C8" s="139" t="s">
        <v>156</v>
      </c>
      <c r="D8" s="139" t="s">
        <v>169</v>
      </c>
      <c r="E8" s="139" t="s">
        <v>170</v>
      </c>
      <c r="F8" s="115">
        <v>-7771970.5599999996</v>
      </c>
      <c r="G8" s="140">
        <v>-7776549.8899999997</v>
      </c>
      <c r="H8" s="126"/>
      <c r="I8" s="143"/>
      <c r="J8" s="32"/>
    </row>
    <row r="9" spans="1:10">
      <c r="A9" s="139" t="s">
        <v>171</v>
      </c>
      <c r="B9" s="139" t="s">
        <v>172</v>
      </c>
      <c r="C9" s="139" t="s">
        <v>156</v>
      </c>
      <c r="D9" s="139" t="s">
        <v>157</v>
      </c>
      <c r="E9" s="139" t="s">
        <v>100</v>
      </c>
      <c r="F9" s="115">
        <v>0</v>
      </c>
      <c r="G9" s="140">
        <v>0</v>
      </c>
      <c r="H9" s="126"/>
      <c r="I9" s="143"/>
      <c r="J9" s="32"/>
    </row>
    <row r="10" spans="1:10">
      <c r="A10" s="139" t="s">
        <v>173</v>
      </c>
      <c r="B10" s="139" t="s">
        <v>174</v>
      </c>
      <c r="C10" s="139" t="s">
        <v>156</v>
      </c>
      <c r="D10" s="139" t="s">
        <v>162</v>
      </c>
      <c r="E10" s="139" t="s">
        <v>100</v>
      </c>
      <c r="F10" s="115">
        <v>-7148832</v>
      </c>
      <c r="G10" s="140">
        <v>-7148832</v>
      </c>
      <c r="H10" s="126"/>
      <c r="I10" s="143"/>
      <c r="J10" s="32">
        <v>-7148832</v>
      </c>
    </row>
    <row r="11" spans="1:10">
      <c r="A11" s="139" t="s">
        <v>175</v>
      </c>
      <c r="B11" s="139" t="s">
        <v>176</v>
      </c>
      <c r="C11" s="139" t="s">
        <v>156</v>
      </c>
      <c r="D11" s="139" t="s">
        <v>162</v>
      </c>
      <c r="E11" s="139" t="s">
        <v>100</v>
      </c>
      <c r="F11" s="115">
        <v>-244094.85</v>
      </c>
      <c r="G11" s="140">
        <v>-244094.85</v>
      </c>
      <c r="H11" s="126"/>
      <c r="I11" s="143"/>
      <c r="J11" s="32">
        <v>-244095</v>
      </c>
    </row>
    <row r="12" spans="1:10">
      <c r="A12" s="139" t="s">
        <v>177</v>
      </c>
      <c r="B12" s="139" t="s">
        <v>178</v>
      </c>
      <c r="C12" s="139" t="s">
        <v>156</v>
      </c>
      <c r="D12" s="139" t="s">
        <v>162</v>
      </c>
      <c r="E12" s="139" t="s">
        <v>100</v>
      </c>
      <c r="F12" s="115">
        <v>-535326.07999999996</v>
      </c>
      <c r="G12" s="140">
        <v>-562626.12</v>
      </c>
      <c r="H12" s="126"/>
      <c r="I12" s="143"/>
      <c r="J12" s="32">
        <v>-535326</v>
      </c>
    </row>
    <row r="13" spans="1:10">
      <c r="A13" s="139" t="s">
        <v>179</v>
      </c>
      <c r="B13" s="139" t="s">
        <v>180</v>
      </c>
      <c r="C13" s="139" t="s">
        <v>156</v>
      </c>
      <c r="D13" s="139" t="s">
        <v>162</v>
      </c>
      <c r="E13" s="139" t="s">
        <v>100</v>
      </c>
      <c r="F13" s="115">
        <v>512352</v>
      </c>
      <c r="G13" s="140">
        <v>523152</v>
      </c>
      <c r="H13" s="126"/>
      <c r="I13" s="143"/>
      <c r="J13" s="32">
        <v>512352</v>
      </c>
    </row>
    <row r="14" spans="1:10">
      <c r="A14" s="139" t="s">
        <v>181</v>
      </c>
      <c r="B14" s="139" t="s">
        <v>182</v>
      </c>
      <c r="C14" s="139" t="s">
        <v>156</v>
      </c>
      <c r="D14" s="139" t="s">
        <v>162</v>
      </c>
      <c r="E14" s="139" t="s">
        <v>100</v>
      </c>
      <c r="F14" s="115">
        <v>3300</v>
      </c>
      <c r="G14" s="140">
        <v>6700</v>
      </c>
      <c r="H14" s="126"/>
      <c r="I14" s="143"/>
      <c r="J14" s="32">
        <v>3300</v>
      </c>
    </row>
    <row r="15" spans="1:10">
      <c r="A15" s="139" t="s">
        <v>183</v>
      </c>
      <c r="B15" s="139" t="s">
        <v>184</v>
      </c>
      <c r="C15" s="139" t="s">
        <v>156</v>
      </c>
      <c r="D15" s="139" t="s">
        <v>162</v>
      </c>
      <c r="E15" s="139" t="s">
        <v>100</v>
      </c>
      <c r="F15" s="115">
        <v>-397575</v>
      </c>
      <c r="G15" s="140">
        <v>-397575</v>
      </c>
      <c r="H15" s="126"/>
      <c r="I15" s="143"/>
      <c r="J15" s="32">
        <v>-397575</v>
      </c>
    </row>
    <row r="16" spans="1:10">
      <c r="A16" s="139" t="s">
        <v>185</v>
      </c>
      <c r="B16" s="139" t="s">
        <v>186</v>
      </c>
      <c r="C16" s="139" t="s">
        <v>156</v>
      </c>
      <c r="D16" s="139" t="s">
        <v>169</v>
      </c>
      <c r="E16" s="139" t="s">
        <v>187</v>
      </c>
      <c r="F16" s="115">
        <v>-7810175.9299999997</v>
      </c>
      <c r="G16" s="140">
        <v>-7823275.9699999997</v>
      </c>
      <c r="H16" s="126"/>
      <c r="I16" s="143"/>
      <c r="J16" s="32"/>
    </row>
    <row r="17" spans="1:10">
      <c r="A17" s="139" t="s">
        <v>188</v>
      </c>
      <c r="B17" s="139" t="s">
        <v>189</v>
      </c>
      <c r="C17" s="139" t="s">
        <v>156</v>
      </c>
      <c r="D17" s="139" t="s">
        <v>157</v>
      </c>
      <c r="E17" s="139" t="s">
        <v>100</v>
      </c>
      <c r="F17" s="115">
        <v>0</v>
      </c>
      <c r="G17" s="140">
        <v>0</v>
      </c>
      <c r="H17" s="126"/>
      <c r="I17" s="143"/>
      <c r="J17" s="32"/>
    </row>
    <row r="18" spans="1:10">
      <c r="A18" s="139" t="s">
        <v>190</v>
      </c>
      <c r="B18" s="139" t="s">
        <v>191</v>
      </c>
      <c r="C18" s="139" t="s">
        <v>156</v>
      </c>
      <c r="D18" s="139" t="s">
        <v>157</v>
      </c>
      <c r="E18" s="139" t="s">
        <v>100</v>
      </c>
      <c r="F18" s="115">
        <v>0</v>
      </c>
      <c r="G18" s="140">
        <v>0</v>
      </c>
      <c r="H18" s="126"/>
      <c r="I18" s="143"/>
      <c r="J18" s="32"/>
    </row>
    <row r="19" spans="1:10">
      <c r="A19" s="139" t="s">
        <v>192</v>
      </c>
      <c r="B19" s="139" t="s">
        <v>193</v>
      </c>
      <c r="C19" s="139" t="s">
        <v>156</v>
      </c>
      <c r="D19" s="139" t="s">
        <v>162</v>
      </c>
      <c r="E19" s="139" t="s">
        <v>100</v>
      </c>
      <c r="F19" s="115">
        <v>0</v>
      </c>
      <c r="G19" s="140">
        <v>0</v>
      </c>
      <c r="H19" s="126"/>
      <c r="I19" s="143"/>
      <c r="J19" s="32"/>
    </row>
    <row r="20" spans="1:10">
      <c r="A20" s="139" t="s">
        <v>194</v>
      </c>
      <c r="B20" s="139" t="s">
        <v>195</v>
      </c>
      <c r="C20" s="139" t="s">
        <v>156</v>
      </c>
      <c r="D20" s="139" t="s">
        <v>169</v>
      </c>
      <c r="E20" s="139" t="s">
        <v>196</v>
      </c>
      <c r="F20" s="115">
        <v>0</v>
      </c>
      <c r="G20" s="140">
        <v>0</v>
      </c>
      <c r="H20" s="126"/>
      <c r="I20" s="143"/>
      <c r="J20" s="32"/>
    </row>
    <row r="21" spans="1:10">
      <c r="A21" s="139" t="s">
        <v>197</v>
      </c>
      <c r="B21" s="139" t="s">
        <v>198</v>
      </c>
      <c r="C21" s="139" t="s">
        <v>156</v>
      </c>
      <c r="D21" s="139" t="s">
        <v>157</v>
      </c>
      <c r="E21" s="139" t="s">
        <v>100</v>
      </c>
      <c r="F21" s="115">
        <v>0</v>
      </c>
      <c r="G21" s="140">
        <v>0</v>
      </c>
      <c r="H21" s="126"/>
      <c r="I21" s="143"/>
      <c r="J21" s="32"/>
    </row>
    <row r="22" spans="1:10">
      <c r="A22" s="139" t="s">
        <v>199</v>
      </c>
      <c r="B22" s="139" t="s">
        <v>200</v>
      </c>
      <c r="C22" s="139" t="s">
        <v>156</v>
      </c>
      <c r="D22" s="139" t="s">
        <v>162</v>
      </c>
      <c r="E22" s="139" t="s">
        <v>100</v>
      </c>
      <c r="F22" s="115">
        <v>-1291945.25</v>
      </c>
      <c r="G22" s="140">
        <v>-1291945.25</v>
      </c>
      <c r="H22" s="126"/>
      <c r="I22" s="143"/>
      <c r="J22" s="32">
        <v>-1291945.25</v>
      </c>
    </row>
    <row r="23" spans="1:10">
      <c r="A23" s="139" t="s">
        <v>201</v>
      </c>
      <c r="B23" s="139" t="s">
        <v>202</v>
      </c>
      <c r="C23" s="139" t="s">
        <v>156</v>
      </c>
      <c r="D23" s="139" t="s">
        <v>162</v>
      </c>
      <c r="E23" s="139" t="s">
        <v>100</v>
      </c>
      <c r="F23" s="115">
        <v>-5833.26</v>
      </c>
      <c r="G23" s="140">
        <v>-5833.26</v>
      </c>
      <c r="H23" s="126"/>
      <c r="I23" s="143"/>
      <c r="J23" s="32">
        <v>-5833</v>
      </c>
    </row>
    <row r="24" spans="1:10">
      <c r="A24" s="139" t="s">
        <v>203</v>
      </c>
      <c r="B24" s="139" t="s">
        <v>204</v>
      </c>
      <c r="C24" s="139" t="s">
        <v>156</v>
      </c>
      <c r="D24" s="139" t="s">
        <v>162</v>
      </c>
      <c r="E24" s="139" t="s">
        <v>100</v>
      </c>
      <c r="F24" s="115">
        <v>125046.08</v>
      </c>
      <c r="G24" s="140">
        <v>125833.87</v>
      </c>
      <c r="H24" s="126"/>
      <c r="I24" s="143"/>
      <c r="J24" s="32">
        <v>125046</v>
      </c>
    </row>
    <row r="25" spans="1:10">
      <c r="A25" s="139" t="s">
        <v>205</v>
      </c>
      <c r="B25" s="139" t="s">
        <v>206</v>
      </c>
      <c r="C25" s="139" t="s">
        <v>156</v>
      </c>
      <c r="D25" s="139" t="s">
        <v>162</v>
      </c>
      <c r="E25" s="139" t="s">
        <v>100</v>
      </c>
      <c r="F25" s="115">
        <v>96518.17</v>
      </c>
      <c r="G25" s="140">
        <v>96949.82</v>
      </c>
      <c r="H25" s="126"/>
      <c r="I25" s="143"/>
      <c r="J25" s="32">
        <v>96518</v>
      </c>
    </row>
    <row r="26" spans="1:10">
      <c r="A26" s="139" t="s">
        <v>207</v>
      </c>
      <c r="B26" s="139" t="s">
        <v>208</v>
      </c>
      <c r="C26" s="139" t="s">
        <v>156</v>
      </c>
      <c r="D26" s="139" t="s">
        <v>162</v>
      </c>
      <c r="E26" s="139" t="s">
        <v>100</v>
      </c>
      <c r="F26" s="115">
        <v>365603.34</v>
      </c>
      <c r="G26" s="140">
        <v>365603.34</v>
      </c>
      <c r="H26" s="126"/>
      <c r="I26" s="143"/>
      <c r="J26" s="32">
        <v>365603</v>
      </c>
    </row>
    <row r="27" spans="1:10">
      <c r="A27" s="139" t="s">
        <v>209</v>
      </c>
      <c r="B27" s="139" t="s">
        <v>210</v>
      </c>
      <c r="C27" s="139" t="s">
        <v>156</v>
      </c>
      <c r="D27" s="139" t="s">
        <v>162</v>
      </c>
      <c r="E27" s="139" t="s">
        <v>100</v>
      </c>
      <c r="F27" s="115">
        <v>520883.6</v>
      </c>
      <c r="G27" s="140">
        <v>526759.30000000005</v>
      </c>
      <c r="H27" s="126"/>
      <c r="I27" s="143"/>
      <c r="J27" s="32">
        <v>520884</v>
      </c>
    </row>
    <row r="28" spans="1:10">
      <c r="A28" s="139" t="s">
        <v>211</v>
      </c>
      <c r="B28" s="139" t="s">
        <v>212</v>
      </c>
      <c r="C28" s="139" t="s">
        <v>156</v>
      </c>
      <c r="D28" s="139" t="s">
        <v>162</v>
      </c>
      <c r="E28" s="139" t="s">
        <v>100</v>
      </c>
      <c r="F28" s="115">
        <v>0</v>
      </c>
      <c r="G28" s="140">
        <v>0</v>
      </c>
      <c r="H28" s="126"/>
      <c r="I28" s="143"/>
      <c r="J28" s="32"/>
    </row>
    <row r="29" spans="1:10">
      <c r="A29" s="139" t="s">
        <v>213</v>
      </c>
      <c r="B29" s="139" t="s">
        <v>214</v>
      </c>
      <c r="C29" s="139" t="s">
        <v>156</v>
      </c>
      <c r="D29" s="139" t="s">
        <v>162</v>
      </c>
      <c r="E29" s="139" t="s">
        <v>100</v>
      </c>
      <c r="F29" s="115">
        <v>1497.75</v>
      </c>
      <c r="G29" s="140">
        <v>1497.75</v>
      </c>
      <c r="H29" s="126"/>
      <c r="I29" s="143"/>
      <c r="J29" s="32">
        <v>1498</v>
      </c>
    </row>
    <row r="30" spans="1:10">
      <c r="A30" s="139" t="s">
        <v>215</v>
      </c>
      <c r="B30" s="139" t="s">
        <v>216</v>
      </c>
      <c r="C30" s="139" t="s">
        <v>156</v>
      </c>
      <c r="D30" s="139" t="s">
        <v>162</v>
      </c>
      <c r="E30" s="139" t="s">
        <v>100</v>
      </c>
      <c r="F30" s="115">
        <v>0</v>
      </c>
      <c r="G30" s="140">
        <v>0</v>
      </c>
      <c r="H30" s="126"/>
      <c r="I30" s="143"/>
      <c r="J30" s="32"/>
    </row>
    <row r="31" spans="1:10">
      <c r="A31" s="139" t="s">
        <v>217</v>
      </c>
      <c r="B31" s="139" t="s">
        <v>218</v>
      </c>
      <c r="C31" s="139" t="s">
        <v>156</v>
      </c>
      <c r="D31" s="139" t="s">
        <v>162</v>
      </c>
      <c r="E31" s="139" t="s">
        <v>100</v>
      </c>
      <c r="F31" s="115">
        <v>24959.88</v>
      </c>
      <c r="G31" s="140">
        <v>26852.959999999999</v>
      </c>
      <c r="H31" s="126"/>
      <c r="I31" s="143"/>
      <c r="J31" s="32">
        <v>24960</v>
      </c>
    </row>
    <row r="32" spans="1:10">
      <c r="A32" s="139" t="s">
        <v>219</v>
      </c>
      <c r="B32" s="139" t="s">
        <v>220</v>
      </c>
      <c r="C32" s="139" t="s">
        <v>156</v>
      </c>
      <c r="D32" s="139" t="s">
        <v>162</v>
      </c>
      <c r="E32" s="139" t="s">
        <v>100</v>
      </c>
      <c r="F32" s="115">
        <v>14941.45</v>
      </c>
      <c r="G32" s="140">
        <v>14941.45</v>
      </c>
      <c r="H32" s="126"/>
      <c r="I32" s="143"/>
      <c r="J32" s="32">
        <v>14941</v>
      </c>
    </row>
    <row r="33" spans="1:10">
      <c r="A33" s="139" t="s">
        <v>221</v>
      </c>
      <c r="B33" s="139" t="s">
        <v>222</v>
      </c>
      <c r="C33" s="139" t="s">
        <v>156</v>
      </c>
      <c r="D33" s="139" t="s">
        <v>169</v>
      </c>
      <c r="E33" s="139" t="s">
        <v>223</v>
      </c>
      <c r="F33" s="115">
        <v>-148328.24</v>
      </c>
      <c r="G33" s="140">
        <v>-139340.01999999999</v>
      </c>
      <c r="H33" s="126"/>
      <c r="I33" s="143"/>
      <c r="J33" s="32"/>
    </row>
    <row r="34" spans="1:10">
      <c r="A34" s="139" t="s">
        <v>224</v>
      </c>
      <c r="B34" s="139" t="s">
        <v>225</v>
      </c>
      <c r="C34" s="139" t="s">
        <v>156</v>
      </c>
      <c r="D34" s="139" t="s">
        <v>157</v>
      </c>
      <c r="E34" s="139" t="s">
        <v>100</v>
      </c>
      <c r="F34" s="115">
        <v>0</v>
      </c>
      <c r="G34" s="140">
        <v>0</v>
      </c>
      <c r="H34" s="126"/>
      <c r="I34" s="143"/>
      <c r="J34" s="32"/>
    </row>
    <row r="35" spans="1:10">
      <c r="A35" s="139" t="s">
        <v>226</v>
      </c>
      <c r="B35" s="139" t="s">
        <v>227</v>
      </c>
      <c r="C35" s="139" t="s">
        <v>156</v>
      </c>
      <c r="D35" s="139" t="s">
        <v>162</v>
      </c>
      <c r="E35" s="139" t="s">
        <v>100</v>
      </c>
      <c r="F35" s="115">
        <v>-2211245.7999999998</v>
      </c>
      <c r="G35" s="140">
        <v>-2211245.7999999998</v>
      </c>
      <c r="H35" s="126"/>
      <c r="I35" s="143"/>
      <c r="J35" s="32">
        <v>-2211246</v>
      </c>
    </row>
    <row r="36" spans="1:10">
      <c r="A36" s="139" t="s">
        <v>228</v>
      </c>
      <c r="B36" s="139" t="s">
        <v>229</v>
      </c>
      <c r="C36" s="139" t="s">
        <v>156</v>
      </c>
      <c r="D36" s="139" t="s">
        <v>162</v>
      </c>
      <c r="E36" s="139" t="s">
        <v>100</v>
      </c>
      <c r="F36" s="115">
        <v>143491.25</v>
      </c>
      <c r="G36" s="140">
        <v>143491.25</v>
      </c>
      <c r="H36" s="126"/>
      <c r="I36" s="143"/>
      <c r="J36" s="32">
        <v>143491</v>
      </c>
    </row>
    <row r="37" spans="1:10">
      <c r="A37" s="139" t="s">
        <v>230</v>
      </c>
      <c r="B37" s="139" t="s">
        <v>231</v>
      </c>
      <c r="C37" s="139" t="s">
        <v>156</v>
      </c>
      <c r="D37" s="139" t="s">
        <v>162</v>
      </c>
      <c r="E37" s="139" t="s">
        <v>100</v>
      </c>
      <c r="F37" s="115">
        <v>76613.320000000007</v>
      </c>
      <c r="G37" s="140">
        <v>76613.320000000007</v>
      </c>
      <c r="H37" s="126"/>
      <c r="I37" s="143"/>
      <c r="J37" s="32">
        <v>76613</v>
      </c>
    </row>
    <row r="38" spans="1:10">
      <c r="A38" s="139" t="s">
        <v>232</v>
      </c>
      <c r="B38" s="139" t="s">
        <v>233</v>
      </c>
      <c r="C38" s="139" t="s">
        <v>156</v>
      </c>
      <c r="D38" s="139" t="s">
        <v>162</v>
      </c>
      <c r="E38" s="139" t="s">
        <v>100</v>
      </c>
      <c r="F38" s="115">
        <v>111927</v>
      </c>
      <c r="G38" s="140">
        <v>111927</v>
      </c>
      <c r="H38" s="126"/>
      <c r="I38" s="143"/>
      <c r="J38" s="32">
        <v>111927</v>
      </c>
    </row>
    <row r="39" spans="1:10">
      <c r="A39" s="139" t="s">
        <v>234</v>
      </c>
      <c r="B39" s="139" t="s">
        <v>235</v>
      </c>
      <c r="C39" s="139" t="s">
        <v>156</v>
      </c>
      <c r="D39" s="139" t="s">
        <v>162</v>
      </c>
      <c r="E39" s="139" t="s">
        <v>100</v>
      </c>
      <c r="F39" s="115">
        <v>-11717.4</v>
      </c>
      <c r="G39" s="140">
        <v>-11717.4</v>
      </c>
      <c r="H39" s="126"/>
      <c r="I39" s="143"/>
      <c r="J39" s="32">
        <v>-11717</v>
      </c>
    </row>
    <row r="40" spans="1:10">
      <c r="A40" s="139" t="s">
        <v>236</v>
      </c>
      <c r="B40" s="139" t="s">
        <v>237</v>
      </c>
      <c r="C40" s="139" t="s">
        <v>156</v>
      </c>
      <c r="D40" s="139" t="s">
        <v>162</v>
      </c>
      <c r="E40" s="139" t="s">
        <v>100</v>
      </c>
      <c r="F40" s="115">
        <v>5000</v>
      </c>
      <c r="G40" s="140">
        <v>5000</v>
      </c>
      <c r="H40" s="126"/>
      <c r="I40" s="143"/>
      <c r="J40" s="32">
        <v>5000</v>
      </c>
    </row>
    <row r="41" spans="1:10">
      <c r="A41" s="139" t="s">
        <v>238</v>
      </c>
      <c r="B41" s="139" t="s">
        <v>239</v>
      </c>
      <c r="C41" s="139" t="s">
        <v>156</v>
      </c>
      <c r="D41" s="139" t="s">
        <v>162</v>
      </c>
      <c r="E41" s="139" t="s">
        <v>100</v>
      </c>
      <c r="F41" s="115">
        <v>1785793.9</v>
      </c>
      <c r="G41" s="140">
        <v>1785793.9</v>
      </c>
      <c r="H41" s="126"/>
      <c r="I41" s="143"/>
      <c r="J41" s="32">
        <v>1785794</v>
      </c>
    </row>
    <row r="42" spans="1:10">
      <c r="A42" s="139" t="s">
        <v>240</v>
      </c>
      <c r="B42" s="139" t="s">
        <v>241</v>
      </c>
      <c r="C42" s="139" t="s">
        <v>156</v>
      </c>
      <c r="D42" s="139" t="s">
        <v>169</v>
      </c>
      <c r="E42" s="139" t="s">
        <v>242</v>
      </c>
      <c r="F42" s="115">
        <v>-100137.73</v>
      </c>
      <c r="G42" s="140">
        <v>-100137.73</v>
      </c>
      <c r="H42" s="126"/>
      <c r="I42" s="143"/>
      <c r="J42" s="32"/>
    </row>
    <row r="43" spans="1:10">
      <c r="A43" s="139" t="s">
        <v>243</v>
      </c>
      <c r="B43" s="139" t="s">
        <v>244</v>
      </c>
      <c r="C43" s="139" t="s">
        <v>156</v>
      </c>
      <c r="D43" s="139" t="s">
        <v>157</v>
      </c>
      <c r="E43" s="139" t="s">
        <v>100</v>
      </c>
      <c r="F43" s="115">
        <v>0</v>
      </c>
      <c r="G43" s="140">
        <v>0</v>
      </c>
      <c r="H43" s="126"/>
      <c r="I43" s="143"/>
      <c r="J43" s="32"/>
    </row>
    <row r="44" spans="1:10">
      <c r="A44" s="139" t="s">
        <v>245</v>
      </c>
      <c r="B44" s="139" t="s">
        <v>246</v>
      </c>
      <c r="C44" s="139" t="s">
        <v>156</v>
      </c>
      <c r="D44" s="139" t="s">
        <v>162</v>
      </c>
      <c r="E44" s="139" t="s">
        <v>100</v>
      </c>
      <c r="F44" s="115">
        <v>-1938594.75</v>
      </c>
      <c r="G44" s="140">
        <v>-2060344.6</v>
      </c>
      <c r="H44" s="126"/>
      <c r="I44" s="143"/>
      <c r="J44" s="32">
        <v>-1938595</v>
      </c>
    </row>
    <row r="45" spans="1:10">
      <c r="A45" s="139" t="s">
        <v>247</v>
      </c>
      <c r="B45" s="139" t="s">
        <v>248</v>
      </c>
      <c r="C45" s="139" t="s">
        <v>156</v>
      </c>
      <c r="D45" s="139" t="s">
        <v>169</v>
      </c>
      <c r="E45" s="139" t="s">
        <v>249</v>
      </c>
      <c r="F45" s="115">
        <v>-1938594.75</v>
      </c>
      <c r="G45" s="140">
        <v>-2060344.6</v>
      </c>
      <c r="H45" s="126"/>
      <c r="I45" s="143"/>
      <c r="J45" s="32"/>
    </row>
    <row r="46" spans="1:10">
      <c r="A46" s="139" t="s">
        <v>250</v>
      </c>
      <c r="B46" s="139" t="s">
        <v>251</v>
      </c>
      <c r="C46" s="139" t="s">
        <v>156</v>
      </c>
      <c r="D46" s="139" t="s">
        <v>169</v>
      </c>
      <c r="E46" s="139" t="s">
        <v>252</v>
      </c>
      <c r="F46" s="115">
        <v>-2187060.7200000002</v>
      </c>
      <c r="G46" s="140">
        <v>-2299822.35</v>
      </c>
      <c r="H46" s="126"/>
      <c r="I46" s="143"/>
      <c r="J46" s="32"/>
    </row>
    <row r="47" spans="1:10">
      <c r="A47" s="139" t="s">
        <v>253</v>
      </c>
      <c r="B47" s="139" t="s">
        <v>254</v>
      </c>
      <c r="C47" s="139" t="s">
        <v>156</v>
      </c>
      <c r="D47" s="139" t="s">
        <v>157</v>
      </c>
      <c r="E47" s="139" t="s">
        <v>100</v>
      </c>
      <c r="F47" s="115">
        <v>0</v>
      </c>
      <c r="G47" s="140">
        <v>0</v>
      </c>
      <c r="H47" s="126"/>
      <c r="I47" s="143"/>
      <c r="J47" s="32"/>
    </row>
    <row r="48" spans="1:10">
      <c r="A48" s="139" t="s">
        <v>255</v>
      </c>
      <c r="B48" s="139" t="s">
        <v>256</v>
      </c>
      <c r="C48" s="139" t="s">
        <v>156</v>
      </c>
      <c r="D48" s="139" t="s">
        <v>162</v>
      </c>
      <c r="E48" s="139" t="s">
        <v>100</v>
      </c>
      <c r="F48" s="115">
        <v>0</v>
      </c>
      <c r="G48" s="140">
        <v>0</v>
      </c>
      <c r="H48" s="126"/>
      <c r="I48" s="143"/>
      <c r="J48" s="32"/>
    </row>
    <row r="49" spans="1:10">
      <c r="A49" s="139" t="s">
        <v>257</v>
      </c>
      <c r="B49" s="139" t="s">
        <v>258</v>
      </c>
      <c r="C49" s="139" t="s">
        <v>156</v>
      </c>
      <c r="D49" s="139" t="s">
        <v>162</v>
      </c>
      <c r="E49" s="139" t="s">
        <v>100</v>
      </c>
      <c r="F49" s="115">
        <v>0</v>
      </c>
      <c r="G49" s="140">
        <v>0</v>
      </c>
      <c r="H49" s="126"/>
      <c r="I49" s="143"/>
      <c r="J49" s="32"/>
    </row>
    <row r="50" spans="1:10">
      <c r="A50" s="139" t="s">
        <v>259</v>
      </c>
      <c r="B50" s="139" t="s">
        <v>260</v>
      </c>
      <c r="C50" s="139" t="s">
        <v>156</v>
      </c>
      <c r="D50" s="139" t="s">
        <v>162</v>
      </c>
      <c r="E50" s="139" t="s">
        <v>100</v>
      </c>
      <c r="F50" s="115">
        <v>0</v>
      </c>
      <c r="G50" s="140">
        <v>0</v>
      </c>
      <c r="H50" s="126"/>
      <c r="I50" s="143"/>
      <c r="J50" s="32"/>
    </row>
    <row r="51" spans="1:10">
      <c r="A51" s="139" t="s">
        <v>261</v>
      </c>
      <c r="B51" s="139" t="s">
        <v>262</v>
      </c>
      <c r="C51" s="139" t="s">
        <v>156</v>
      </c>
      <c r="D51" s="139" t="s">
        <v>162</v>
      </c>
      <c r="E51" s="139" t="s">
        <v>100</v>
      </c>
      <c r="F51" s="115">
        <v>0</v>
      </c>
      <c r="G51" s="140">
        <v>0</v>
      </c>
      <c r="H51" s="126"/>
      <c r="I51" s="143"/>
      <c r="J51" s="32"/>
    </row>
    <row r="52" spans="1:10">
      <c r="A52" s="139" t="s">
        <v>263</v>
      </c>
      <c r="B52" s="139" t="s">
        <v>264</v>
      </c>
      <c r="C52" s="139" t="s">
        <v>156</v>
      </c>
      <c r="D52" s="139" t="s">
        <v>162</v>
      </c>
      <c r="E52" s="139" t="s">
        <v>100</v>
      </c>
      <c r="F52" s="115">
        <v>-8833.48</v>
      </c>
      <c r="G52" s="140">
        <v>-8833.48</v>
      </c>
      <c r="H52" s="126"/>
      <c r="I52" s="143"/>
      <c r="J52" s="32">
        <v>-8833</v>
      </c>
    </row>
    <row r="53" spans="1:10">
      <c r="A53" s="139" t="s">
        <v>265</v>
      </c>
      <c r="B53" s="139" t="s">
        <v>266</v>
      </c>
      <c r="C53" s="139" t="s">
        <v>156</v>
      </c>
      <c r="D53" s="139" t="s">
        <v>162</v>
      </c>
      <c r="E53" s="139" t="s">
        <v>100</v>
      </c>
      <c r="F53" s="115">
        <v>-8390.56</v>
      </c>
      <c r="G53" s="140">
        <v>-8390.56</v>
      </c>
      <c r="H53" s="126"/>
      <c r="I53" s="143"/>
      <c r="J53" s="32">
        <v>-8391</v>
      </c>
    </row>
    <row r="54" spans="1:10">
      <c r="A54" s="139" t="s">
        <v>267</v>
      </c>
      <c r="B54" s="139" t="s">
        <v>268</v>
      </c>
      <c r="C54" s="139" t="s">
        <v>156</v>
      </c>
      <c r="D54" s="139" t="s">
        <v>162</v>
      </c>
      <c r="E54" s="139" t="s">
        <v>100</v>
      </c>
      <c r="F54" s="115">
        <v>-4583.33</v>
      </c>
      <c r="G54" s="140">
        <v>-4583.33</v>
      </c>
      <c r="H54" s="126"/>
      <c r="I54" s="143"/>
      <c r="J54" s="32">
        <v>-4583</v>
      </c>
    </row>
    <row r="55" spans="1:10">
      <c r="A55" s="139" t="s">
        <v>269</v>
      </c>
      <c r="B55" s="139" t="s">
        <v>270</v>
      </c>
      <c r="C55" s="139" t="s">
        <v>156</v>
      </c>
      <c r="D55" s="139" t="s">
        <v>162</v>
      </c>
      <c r="E55" s="139" t="s">
        <v>100</v>
      </c>
      <c r="F55" s="115">
        <v>-50496</v>
      </c>
      <c r="G55" s="140">
        <v>-114457.60000000001</v>
      </c>
      <c r="H55" s="126"/>
      <c r="I55" s="143"/>
      <c r="J55" s="32">
        <v>-50496</v>
      </c>
    </row>
    <row r="56" spans="1:10">
      <c r="A56" s="139" t="s">
        <v>271</v>
      </c>
      <c r="B56" s="139" t="s">
        <v>272</v>
      </c>
      <c r="C56" s="139" t="s">
        <v>156</v>
      </c>
      <c r="D56" s="139" t="s">
        <v>162</v>
      </c>
      <c r="E56" s="139" t="s">
        <v>100</v>
      </c>
      <c r="F56" s="115">
        <v>0</v>
      </c>
      <c r="G56" s="140">
        <v>0</v>
      </c>
      <c r="H56" s="126"/>
      <c r="I56" s="143"/>
      <c r="J56" s="32"/>
    </row>
    <row r="57" spans="1:10">
      <c r="A57" s="139" t="s">
        <v>273</v>
      </c>
      <c r="B57" s="139" t="s">
        <v>274</v>
      </c>
      <c r="C57" s="139" t="s">
        <v>156</v>
      </c>
      <c r="D57" s="139" t="s">
        <v>162</v>
      </c>
      <c r="E57" s="139" t="s">
        <v>100</v>
      </c>
      <c r="F57" s="115">
        <v>15.2</v>
      </c>
      <c r="G57" s="140">
        <v>184.51</v>
      </c>
      <c r="H57" s="126"/>
      <c r="I57" s="143"/>
      <c r="J57" s="32">
        <v>15</v>
      </c>
    </row>
    <row r="58" spans="1:10">
      <c r="A58" s="139" t="s">
        <v>275</v>
      </c>
      <c r="B58" s="139" t="s">
        <v>254</v>
      </c>
      <c r="C58" s="139" t="s">
        <v>156</v>
      </c>
      <c r="D58" s="139" t="s">
        <v>169</v>
      </c>
      <c r="E58" s="139" t="s">
        <v>276</v>
      </c>
      <c r="F58" s="115">
        <v>-72288.17</v>
      </c>
      <c r="G58" s="140">
        <v>-136080.46</v>
      </c>
      <c r="H58" s="126"/>
      <c r="I58" s="143"/>
      <c r="J58" s="32"/>
    </row>
    <row r="59" spans="1:10">
      <c r="A59" s="139" t="s">
        <v>277</v>
      </c>
      <c r="B59" s="139" t="s">
        <v>278</v>
      </c>
      <c r="C59" s="139" t="s">
        <v>156</v>
      </c>
      <c r="D59" s="139" t="s">
        <v>169</v>
      </c>
      <c r="E59" s="139" t="s">
        <v>279</v>
      </c>
      <c r="F59" s="115">
        <v>-17841495.379999999</v>
      </c>
      <c r="G59" s="140">
        <v>-18035728.670000002</v>
      </c>
      <c r="H59" s="126"/>
      <c r="I59" s="143"/>
      <c r="J59" s="131"/>
    </row>
    <row r="60" spans="1:10">
      <c r="A60" s="139" t="s">
        <v>280</v>
      </c>
      <c r="B60" s="139" t="s">
        <v>281</v>
      </c>
      <c r="C60" s="139" t="s">
        <v>156</v>
      </c>
      <c r="D60" s="139" t="s">
        <v>157</v>
      </c>
      <c r="E60" s="139" t="s">
        <v>100</v>
      </c>
      <c r="F60" s="115">
        <v>0</v>
      </c>
      <c r="G60" s="140">
        <v>0</v>
      </c>
      <c r="H60" s="126"/>
      <c r="I60" s="143"/>
      <c r="J60" s="32"/>
    </row>
    <row r="61" spans="1:10">
      <c r="A61" s="139" t="s">
        <v>282</v>
      </c>
      <c r="B61" s="139" t="s">
        <v>281</v>
      </c>
      <c r="C61" s="139" t="s">
        <v>156</v>
      </c>
      <c r="D61" s="139" t="s">
        <v>157</v>
      </c>
      <c r="E61" s="139" t="s">
        <v>100</v>
      </c>
      <c r="F61" s="115">
        <v>0</v>
      </c>
      <c r="G61" s="140">
        <v>0</v>
      </c>
      <c r="H61" s="126"/>
      <c r="I61" s="143"/>
      <c r="J61" s="32"/>
    </row>
    <row r="62" spans="1:10">
      <c r="A62" s="139" t="s">
        <v>283</v>
      </c>
      <c r="B62" s="139" t="s">
        <v>284</v>
      </c>
      <c r="C62" s="139" t="s">
        <v>156</v>
      </c>
      <c r="D62" s="139" t="s">
        <v>157</v>
      </c>
      <c r="E62" s="139" t="s">
        <v>100</v>
      </c>
      <c r="F62" s="115">
        <v>0</v>
      </c>
      <c r="G62" s="140">
        <v>0</v>
      </c>
      <c r="H62" s="126"/>
      <c r="I62" s="143"/>
      <c r="J62" s="32"/>
    </row>
    <row r="63" spans="1:10">
      <c r="A63" s="139" t="s">
        <v>285</v>
      </c>
      <c r="B63" s="139" t="s">
        <v>286</v>
      </c>
      <c r="C63" s="139" t="s">
        <v>156</v>
      </c>
      <c r="D63" s="139" t="s">
        <v>157</v>
      </c>
      <c r="E63" s="139" t="s">
        <v>100</v>
      </c>
      <c r="F63" s="115">
        <v>0</v>
      </c>
      <c r="G63" s="140">
        <v>0</v>
      </c>
      <c r="H63" s="126"/>
      <c r="I63" s="143"/>
      <c r="J63" s="32"/>
    </row>
    <row r="64" spans="1:10">
      <c r="A64" s="139" t="s">
        <v>287</v>
      </c>
      <c r="B64" s="139" t="s">
        <v>288</v>
      </c>
      <c r="C64" s="139" t="s">
        <v>156</v>
      </c>
      <c r="D64" s="139" t="s">
        <v>162</v>
      </c>
      <c r="E64" s="139" t="s">
        <v>100</v>
      </c>
      <c r="F64" s="115">
        <v>7835970.9800000004</v>
      </c>
      <c r="G64" s="140">
        <v>8446063</v>
      </c>
      <c r="H64" s="126"/>
      <c r="I64" s="143"/>
      <c r="J64" s="32">
        <f>+F64</f>
        <v>7835970.9800000004</v>
      </c>
    </row>
    <row r="65" spans="1:10">
      <c r="A65" s="139" t="s">
        <v>289</v>
      </c>
      <c r="B65" s="139" t="s">
        <v>290</v>
      </c>
      <c r="C65" s="139" t="s">
        <v>156</v>
      </c>
      <c r="D65" s="139" t="s">
        <v>162</v>
      </c>
      <c r="E65" s="139" t="s">
        <v>100</v>
      </c>
      <c r="F65" s="115">
        <v>0</v>
      </c>
      <c r="G65" s="140">
        <v>0</v>
      </c>
      <c r="H65" s="126"/>
      <c r="I65" s="143"/>
      <c r="J65" s="32">
        <f t="shared" ref="J65:J127" si="0">+F65</f>
        <v>0</v>
      </c>
    </row>
    <row r="66" spans="1:10">
      <c r="A66" s="139" t="s">
        <v>291</v>
      </c>
      <c r="B66" s="139" t="s">
        <v>292</v>
      </c>
      <c r="C66" s="139" t="s">
        <v>156</v>
      </c>
      <c r="D66" s="139" t="s">
        <v>162</v>
      </c>
      <c r="E66" s="139" t="s">
        <v>100</v>
      </c>
      <c r="F66" s="115">
        <v>0</v>
      </c>
      <c r="G66" s="140">
        <v>0</v>
      </c>
      <c r="H66" s="126"/>
      <c r="I66" s="143"/>
      <c r="J66" s="32">
        <f t="shared" si="0"/>
        <v>0</v>
      </c>
    </row>
    <row r="67" spans="1:10">
      <c r="A67" s="139" t="s">
        <v>293</v>
      </c>
      <c r="B67" s="139" t="s">
        <v>294</v>
      </c>
      <c r="C67" s="139" t="s">
        <v>156</v>
      </c>
      <c r="D67" s="139" t="s">
        <v>162</v>
      </c>
      <c r="E67" s="139" t="s">
        <v>100</v>
      </c>
      <c r="F67" s="115">
        <v>-222431.52</v>
      </c>
      <c r="G67" s="140">
        <v>-235647.52</v>
      </c>
      <c r="H67" s="126"/>
      <c r="I67" s="143"/>
      <c r="J67" s="32">
        <f t="shared" si="0"/>
        <v>-222431.52</v>
      </c>
    </row>
    <row r="68" spans="1:10">
      <c r="A68" s="139" t="s">
        <v>295</v>
      </c>
      <c r="B68" s="139" t="s">
        <v>296</v>
      </c>
      <c r="C68" s="139" t="s">
        <v>156</v>
      </c>
      <c r="D68" s="139" t="s">
        <v>162</v>
      </c>
      <c r="E68" s="139" t="s">
        <v>100</v>
      </c>
      <c r="F68" s="115">
        <v>426886.94</v>
      </c>
      <c r="G68" s="140">
        <v>460068.21</v>
      </c>
      <c r="H68" s="126"/>
      <c r="I68" s="143"/>
      <c r="J68" s="32">
        <f t="shared" si="0"/>
        <v>426886.94</v>
      </c>
    </row>
    <row r="69" spans="1:10">
      <c r="A69" s="139" t="s">
        <v>297</v>
      </c>
      <c r="B69" s="139" t="s">
        <v>298</v>
      </c>
      <c r="C69" s="139" t="s">
        <v>156</v>
      </c>
      <c r="D69" s="139" t="s">
        <v>162</v>
      </c>
      <c r="E69" s="139" t="s">
        <v>100</v>
      </c>
      <c r="F69" s="115">
        <v>944044.63</v>
      </c>
      <c r="G69" s="140">
        <v>1016433.61</v>
      </c>
      <c r="H69" s="126"/>
      <c r="I69" s="143"/>
      <c r="J69" s="32">
        <f t="shared" si="0"/>
        <v>944044.63</v>
      </c>
    </row>
    <row r="70" spans="1:10">
      <c r="A70" s="139" t="s">
        <v>299</v>
      </c>
      <c r="B70" s="139" t="s">
        <v>300</v>
      </c>
      <c r="C70" s="139" t="s">
        <v>156</v>
      </c>
      <c r="D70" s="139" t="s">
        <v>162</v>
      </c>
      <c r="E70" s="139" t="s">
        <v>100</v>
      </c>
      <c r="F70" s="115">
        <v>246681.85</v>
      </c>
      <c r="G70" s="140">
        <v>247920.38</v>
      </c>
      <c r="H70" s="126"/>
      <c r="I70" s="143"/>
      <c r="J70" s="32">
        <f t="shared" si="0"/>
        <v>246681.85</v>
      </c>
    </row>
    <row r="71" spans="1:10">
      <c r="A71" s="139" t="s">
        <v>301</v>
      </c>
      <c r="B71" s="139" t="s">
        <v>302</v>
      </c>
      <c r="C71" s="139" t="s">
        <v>156</v>
      </c>
      <c r="D71" s="139" t="s">
        <v>162</v>
      </c>
      <c r="E71" s="139" t="s">
        <v>100</v>
      </c>
      <c r="F71" s="115">
        <v>53213.1</v>
      </c>
      <c r="G71" s="140">
        <v>86022.69</v>
      </c>
      <c r="H71" s="126"/>
      <c r="I71" s="143"/>
      <c r="J71" s="32">
        <f t="shared" si="0"/>
        <v>53213.1</v>
      </c>
    </row>
    <row r="72" spans="1:10">
      <c r="A72" s="139" t="s">
        <v>303</v>
      </c>
      <c r="B72" s="139" t="s">
        <v>304</v>
      </c>
      <c r="C72" s="139" t="s">
        <v>156</v>
      </c>
      <c r="D72" s="139" t="s">
        <v>162</v>
      </c>
      <c r="E72" s="139" t="s">
        <v>100</v>
      </c>
      <c r="F72" s="115">
        <v>-332497.98</v>
      </c>
      <c r="G72" s="140">
        <v>-332497.98</v>
      </c>
      <c r="H72" s="126"/>
      <c r="I72" s="143"/>
      <c r="J72" s="32">
        <f t="shared" si="0"/>
        <v>-332497.98</v>
      </c>
    </row>
    <row r="73" spans="1:10">
      <c r="A73" s="139" t="s">
        <v>305</v>
      </c>
      <c r="B73" s="139" t="s">
        <v>306</v>
      </c>
      <c r="C73" s="139" t="s">
        <v>156</v>
      </c>
      <c r="D73" s="139" t="s">
        <v>162</v>
      </c>
      <c r="E73" s="139" t="s">
        <v>100</v>
      </c>
      <c r="F73" s="115">
        <v>125757.59</v>
      </c>
      <c r="G73" s="140">
        <v>131059.13</v>
      </c>
      <c r="H73" s="126"/>
      <c r="I73" s="143"/>
      <c r="J73" s="32">
        <f t="shared" si="0"/>
        <v>125757.59</v>
      </c>
    </row>
    <row r="74" spans="1:10">
      <c r="A74" s="139" t="s">
        <v>307</v>
      </c>
      <c r="B74" s="139" t="s">
        <v>308</v>
      </c>
      <c r="C74" s="139" t="s">
        <v>156</v>
      </c>
      <c r="D74" s="139" t="s">
        <v>162</v>
      </c>
      <c r="E74" s="139" t="s">
        <v>100</v>
      </c>
      <c r="F74" s="115">
        <v>-21933.02</v>
      </c>
      <c r="G74" s="140">
        <v>-23383.040000000001</v>
      </c>
      <c r="H74" s="126"/>
      <c r="I74" s="143"/>
      <c r="J74" s="32">
        <f t="shared" si="0"/>
        <v>-21933.02</v>
      </c>
    </row>
    <row r="75" spans="1:10">
      <c r="A75" s="139" t="s">
        <v>309</v>
      </c>
      <c r="B75" s="139" t="s">
        <v>310</v>
      </c>
      <c r="C75" s="139" t="s">
        <v>156</v>
      </c>
      <c r="D75" s="139" t="s">
        <v>162</v>
      </c>
      <c r="E75" s="139" t="s">
        <v>100</v>
      </c>
      <c r="F75" s="115">
        <v>0</v>
      </c>
      <c r="G75" s="140">
        <v>0</v>
      </c>
      <c r="H75" s="126"/>
      <c r="I75" s="143"/>
      <c r="J75" s="32">
        <f t="shared" si="0"/>
        <v>0</v>
      </c>
    </row>
    <row r="76" spans="1:10">
      <c r="A76" s="139" t="s">
        <v>311</v>
      </c>
      <c r="B76" s="139" t="s">
        <v>312</v>
      </c>
      <c r="C76" s="139" t="s">
        <v>156</v>
      </c>
      <c r="D76" s="139" t="s">
        <v>169</v>
      </c>
      <c r="E76" s="139" t="s">
        <v>313</v>
      </c>
      <c r="F76" s="115">
        <v>9055692.5700000003</v>
      </c>
      <c r="G76" s="140">
        <v>9796038.4800000004</v>
      </c>
      <c r="H76" s="126"/>
      <c r="I76" s="143"/>
      <c r="J76" s="32"/>
    </row>
    <row r="77" spans="1:10">
      <c r="A77" s="139" t="s">
        <v>314</v>
      </c>
      <c r="B77" s="139" t="s">
        <v>315</v>
      </c>
      <c r="C77" s="139" t="s">
        <v>156</v>
      </c>
      <c r="D77" s="139" t="s">
        <v>157</v>
      </c>
      <c r="E77" s="139" t="s">
        <v>100</v>
      </c>
      <c r="F77" s="115">
        <v>0</v>
      </c>
      <c r="G77" s="140">
        <v>0</v>
      </c>
      <c r="H77" s="126"/>
      <c r="I77" s="143"/>
      <c r="J77" s="32">
        <f t="shared" si="0"/>
        <v>0</v>
      </c>
    </row>
    <row r="78" spans="1:10">
      <c r="A78" s="139" t="s">
        <v>316</v>
      </c>
      <c r="B78" s="139" t="s">
        <v>317</v>
      </c>
      <c r="C78" s="139" t="s">
        <v>156</v>
      </c>
      <c r="D78" s="139" t="s">
        <v>162</v>
      </c>
      <c r="E78" s="139" t="s">
        <v>100</v>
      </c>
      <c r="F78" s="115">
        <v>436542.35</v>
      </c>
      <c r="G78" s="140">
        <v>455528.53</v>
      </c>
      <c r="H78" s="126"/>
      <c r="I78" s="143"/>
      <c r="J78" s="32">
        <f t="shared" si="0"/>
        <v>436542.35</v>
      </c>
    </row>
    <row r="79" spans="1:10">
      <c r="A79" s="139" t="s">
        <v>318</v>
      </c>
      <c r="B79" s="139" t="s">
        <v>319</v>
      </c>
      <c r="C79" s="139" t="s">
        <v>156</v>
      </c>
      <c r="D79" s="139" t="s">
        <v>162</v>
      </c>
      <c r="E79" s="139" t="s">
        <v>100</v>
      </c>
      <c r="F79" s="115">
        <v>-17200.66</v>
      </c>
      <c r="G79" s="140">
        <v>-17200.66</v>
      </c>
      <c r="H79" s="126"/>
      <c r="I79" s="143"/>
      <c r="J79" s="32">
        <f t="shared" si="0"/>
        <v>-17200.66</v>
      </c>
    </row>
    <row r="80" spans="1:10">
      <c r="A80" s="139" t="s">
        <v>320</v>
      </c>
      <c r="B80" s="139" t="s">
        <v>321</v>
      </c>
      <c r="C80" s="139" t="s">
        <v>156</v>
      </c>
      <c r="D80" s="139" t="s">
        <v>162</v>
      </c>
      <c r="E80" s="139" t="s">
        <v>100</v>
      </c>
      <c r="F80" s="115">
        <v>151379.41</v>
      </c>
      <c r="G80" s="140">
        <v>154005.60999999999</v>
      </c>
      <c r="H80" s="126"/>
      <c r="I80" s="143"/>
      <c r="J80" s="32">
        <f t="shared" si="0"/>
        <v>151379.41</v>
      </c>
    </row>
    <row r="81" spans="1:10">
      <c r="A81" s="139" t="s">
        <v>322</v>
      </c>
      <c r="B81" s="139" t="s">
        <v>323</v>
      </c>
      <c r="C81" s="139" t="s">
        <v>156</v>
      </c>
      <c r="D81" s="139" t="s">
        <v>162</v>
      </c>
      <c r="E81" s="139" t="s">
        <v>100</v>
      </c>
      <c r="F81" s="115">
        <v>40879.1</v>
      </c>
      <c r="G81" s="140">
        <v>44788.18</v>
      </c>
      <c r="H81" s="126"/>
      <c r="I81" s="143"/>
      <c r="J81" s="32">
        <f t="shared" si="0"/>
        <v>40879.1</v>
      </c>
    </row>
    <row r="82" spans="1:10">
      <c r="A82" s="139" t="s">
        <v>324</v>
      </c>
      <c r="B82" s="139" t="s">
        <v>325</v>
      </c>
      <c r="C82" s="139" t="s">
        <v>156</v>
      </c>
      <c r="D82" s="139" t="s">
        <v>162</v>
      </c>
      <c r="E82" s="139" t="s">
        <v>100</v>
      </c>
      <c r="F82" s="115">
        <v>6359.02</v>
      </c>
      <c r="G82" s="140">
        <v>6359.02</v>
      </c>
      <c r="H82" s="126"/>
      <c r="I82" s="143"/>
      <c r="J82" s="32">
        <f t="shared" si="0"/>
        <v>6359.02</v>
      </c>
    </row>
    <row r="83" spans="1:10">
      <c r="A83" s="139" t="s">
        <v>326</v>
      </c>
      <c r="B83" s="139" t="s">
        <v>327</v>
      </c>
      <c r="C83" s="139" t="s">
        <v>156</v>
      </c>
      <c r="D83" s="139" t="s">
        <v>162</v>
      </c>
      <c r="E83" s="139" t="s">
        <v>100</v>
      </c>
      <c r="F83" s="115">
        <v>0</v>
      </c>
      <c r="G83" s="140">
        <v>0</v>
      </c>
      <c r="H83" s="126"/>
      <c r="I83" s="143"/>
      <c r="J83" s="32">
        <f t="shared" si="0"/>
        <v>0</v>
      </c>
    </row>
    <row r="84" spans="1:10">
      <c r="A84" s="139" t="s">
        <v>328</v>
      </c>
      <c r="B84" s="139" t="s">
        <v>329</v>
      </c>
      <c r="C84" s="139" t="s">
        <v>156</v>
      </c>
      <c r="D84" s="139" t="s">
        <v>169</v>
      </c>
      <c r="E84" s="139" t="s">
        <v>330</v>
      </c>
      <c r="F84" s="115">
        <v>617959.22</v>
      </c>
      <c r="G84" s="140">
        <v>643480.68000000005</v>
      </c>
      <c r="H84" s="126"/>
      <c r="I84" s="143"/>
      <c r="J84" s="32"/>
    </row>
    <row r="85" spans="1:10">
      <c r="A85" s="139" t="s">
        <v>331</v>
      </c>
      <c r="B85" s="139" t="s">
        <v>332</v>
      </c>
      <c r="C85" s="139" t="s">
        <v>156</v>
      </c>
      <c r="D85" s="139" t="s">
        <v>157</v>
      </c>
      <c r="E85" s="139" t="s">
        <v>100</v>
      </c>
      <c r="F85" s="115">
        <v>0</v>
      </c>
      <c r="G85" s="140">
        <v>0</v>
      </c>
      <c r="H85" s="126"/>
      <c r="I85" s="143"/>
      <c r="J85" s="32">
        <f t="shared" si="0"/>
        <v>0</v>
      </c>
    </row>
    <row r="86" spans="1:10">
      <c r="A86" s="139" t="s">
        <v>333</v>
      </c>
      <c r="B86" s="139" t="s">
        <v>334</v>
      </c>
      <c r="C86" s="139" t="s">
        <v>156</v>
      </c>
      <c r="D86" s="139" t="s">
        <v>162</v>
      </c>
      <c r="E86" s="139" t="s">
        <v>100</v>
      </c>
      <c r="F86" s="115">
        <v>153591.47</v>
      </c>
      <c r="G86" s="140">
        <v>153591.47</v>
      </c>
      <c r="H86" s="126"/>
      <c r="I86" s="143"/>
      <c r="J86" s="32">
        <f t="shared" si="0"/>
        <v>153591.47</v>
      </c>
    </row>
    <row r="87" spans="1:10">
      <c r="A87" s="139" t="s">
        <v>335</v>
      </c>
      <c r="B87" s="139" t="s">
        <v>336</v>
      </c>
      <c r="C87" s="139" t="s">
        <v>156</v>
      </c>
      <c r="D87" s="139" t="s">
        <v>162</v>
      </c>
      <c r="E87" s="139" t="s">
        <v>100</v>
      </c>
      <c r="F87" s="115">
        <v>119807.93</v>
      </c>
      <c r="G87" s="140">
        <v>121941.06</v>
      </c>
      <c r="H87" s="126"/>
      <c r="I87" s="143"/>
      <c r="J87" s="32">
        <f t="shared" si="0"/>
        <v>119807.93</v>
      </c>
    </row>
    <row r="88" spans="1:10">
      <c r="A88" s="139" t="s">
        <v>337</v>
      </c>
      <c r="B88" s="139" t="s">
        <v>338</v>
      </c>
      <c r="C88" s="139" t="s">
        <v>156</v>
      </c>
      <c r="D88" s="139" t="s">
        <v>169</v>
      </c>
      <c r="E88" s="139" t="s">
        <v>339</v>
      </c>
      <c r="F88" s="115">
        <v>273399.40000000002</v>
      </c>
      <c r="G88" s="140">
        <v>275532.53000000003</v>
      </c>
      <c r="H88" s="126"/>
      <c r="I88" s="143"/>
      <c r="J88" s="32"/>
    </row>
    <row r="89" spans="1:10">
      <c r="A89" s="139" t="s">
        <v>340</v>
      </c>
      <c r="B89" s="139" t="s">
        <v>341</v>
      </c>
      <c r="C89" s="139" t="s">
        <v>156</v>
      </c>
      <c r="D89" s="139" t="s">
        <v>169</v>
      </c>
      <c r="E89" s="139" t="s">
        <v>342</v>
      </c>
      <c r="F89" s="115">
        <v>9947051.1899999995</v>
      </c>
      <c r="G89" s="140">
        <v>10715051.689999999</v>
      </c>
      <c r="H89" s="126"/>
      <c r="I89" s="143"/>
      <c r="J89" s="32"/>
    </row>
    <row r="90" spans="1:10">
      <c r="A90" s="139" t="s">
        <v>343</v>
      </c>
      <c r="B90" s="139" t="s">
        <v>344</v>
      </c>
      <c r="C90" s="139" t="s">
        <v>156</v>
      </c>
      <c r="D90" s="139" t="s">
        <v>157</v>
      </c>
      <c r="E90" s="139" t="s">
        <v>100</v>
      </c>
      <c r="F90" s="115">
        <v>0</v>
      </c>
      <c r="G90" s="140">
        <v>0</v>
      </c>
      <c r="H90" s="126"/>
      <c r="I90" s="143"/>
      <c r="J90" s="32">
        <f t="shared" si="0"/>
        <v>0</v>
      </c>
    </row>
    <row r="91" spans="1:10">
      <c r="A91" s="139" t="s">
        <v>345</v>
      </c>
      <c r="B91" s="139" t="s">
        <v>346</v>
      </c>
      <c r="C91" s="139" t="s">
        <v>156</v>
      </c>
      <c r="D91" s="139" t="s">
        <v>162</v>
      </c>
      <c r="E91" s="139" t="s">
        <v>100</v>
      </c>
      <c r="F91" s="115">
        <v>1350</v>
      </c>
      <c r="G91" s="140">
        <v>1350</v>
      </c>
      <c r="H91" s="126"/>
      <c r="I91" s="143"/>
      <c r="J91" s="32">
        <f t="shared" si="0"/>
        <v>1350</v>
      </c>
    </row>
    <row r="92" spans="1:10">
      <c r="A92" s="139" t="s">
        <v>347</v>
      </c>
      <c r="B92" s="139" t="s">
        <v>348</v>
      </c>
      <c r="C92" s="139" t="s">
        <v>156</v>
      </c>
      <c r="D92" s="139" t="s">
        <v>162</v>
      </c>
      <c r="E92" s="139" t="s">
        <v>100</v>
      </c>
      <c r="F92" s="115">
        <v>34219.19</v>
      </c>
      <c r="G92" s="140">
        <v>34219.19</v>
      </c>
      <c r="H92" s="126"/>
      <c r="I92" s="143"/>
      <c r="J92" s="32">
        <f t="shared" si="0"/>
        <v>34219.19</v>
      </c>
    </row>
    <row r="93" spans="1:10">
      <c r="A93" s="139" t="s">
        <v>349</v>
      </c>
      <c r="B93" s="139" t="s">
        <v>350</v>
      </c>
      <c r="C93" s="139" t="s">
        <v>156</v>
      </c>
      <c r="D93" s="139" t="s">
        <v>162</v>
      </c>
      <c r="E93" s="139" t="s">
        <v>100</v>
      </c>
      <c r="F93" s="115">
        <v>0</v>
      </c>
      <c r="G93" s="140">
        <v>0</v>
      </c>
      <c r="H93" s="126"/>
      <c r="I93" s="143"/>
      <c r="J93" s="32">
        <f t="shared" si="0"/>
        <v>0</v>
      </c>
    </row>
    <row r="94" spans="1:10">
      <c r="A94" s="139" t="s">
        <v>351</v>
      </c>
      <c r="B94" s="139" t="s">
        <v>352</v>
      </c>
      <c r="C94" s="139" t="s">
        <v>156</v>
      </c>
      <c r="D94" s="139" t="s">
        <v>162</v>
      </c>
      <c r="E94" s="139" t="s">
        <v>100</v>
      </c>
      <c r="F94" s="115">
        <v>0</v>
      </c>
      <c r="G94" s="140">
        <v>2326.25</v>
      </c>
      <c r="H94" s="126"/>
      <c r="I94" s="143"/>
      <c r="J94" s="32">
        <f t="shared" si="0"/>
        <v>0</v>
      </c>
    </row>
    <row r="95" spans="1:10">
      <c r="A95" s="139" t="s">
        <v>353</v>
      </c>
      <c r="B95" s="139" t="s">
        <v>354</v>
      </c>
      <c r="C95" s="139" t="s">
        <v>156</v>
      </c>
      <c r="D95" s="139" t="s">
        <v>162</v>
      </c>
      <c r="E95" s="139" t="s">
        <v>100</v>
      </c>
      <c r="F95" s="115">
        <v>405206.5</v>
      </c>
      <c r="G95" s="140">
        <v>406533.21</v>
      </c>
      <c r="H95" s="126"/>
      <c r="I95" s="143"/>
      <c r="J95" s="32">
        <f t="shared" si="0"/>
        <v>405206.5</v>
      </c>
    </row>
    <row r="96" spans="1:10">
      <c r="A96" s="139" t="s">
        <v>355</v>
      </c>
      <c r="B96" s="139" t="s">
        <v>356</v>
      </c>
      <c r="C96" s="139" t="s">
        <v>156</v>
      </c>
      <c r="D96" s="139" t="s">
        <v>162</v>
      </c>
      <c r="E96" s="139" t="s">
        <v>100</v>
      </c>
      <c r="F96" s="115">
        <v>0</v>
      </c>
      <c r="G96" s="140">
        <v>0</v>
      </c>
      <c r="H96" s="126"/>
      <c r="I96" s="143"/>
      <c r="J96" s="32">
        <f t="shared" si="0"/>
        <v>0</v>
      </c>
    </row>
    <row r="97" spans="1:10">
      <c r="A97" s="139" t="s">
        <v>357</v>
      </c>
      <c r="B97" s="139" t="s">
        <v>358</v>
      </c>
      <c r="C97" s="139" t="s">
        <v>156</v>
      </c>
      <c r="D97" s="139" t="s">
        <v>162</v>
      </c>
      <c r="E97" s="139" t="s">
        <v>100</v>
      </c>
      <c r="F97" s="115">
        <v>53998.559999999998</v>
      </c>
      <c r="G97" s="140">
        <v>53998.559999999998</v>
      </c>
      <c r="H97" s="126"/>
      <c r="I97" s="143"/>
      <c r="J97" s="32">
        <f t="shared" si="0"/>
        <v>53998.559999999998</v>
      </c>
    </row>
    <row r="98" spans="1:10">
      <c r="A98" s="139" t="s">
        <v>359</v>
      </c>
      <c r="B98" s="139" t="s">
        <v>360</v>
      </c>
      <c r="C98" s="139" t="s">
        <v>156</v>
      </c>
      <c r="D98" s="139" t="s">
        <v>162</v>
      </c>
      <c r="E98" s="139" t="s">
        <v>100</v>
      </c>
      <c r="F98" s="115">
        <v>30695.32</v>
      </c>
      <c r="G98" s="140">
        <v>30695.32</v>
      </c>
      <c r="H98" s="126"/>
      <c r="I98" s="143"/>
      <c r="J98" s="32">
        <f t="shared" si="0"/>
        <v>30695.32</v>
      </c>
    </row>
    <row r="99" spans="1:10">
      <c r="A99" s="139" t="s">
        <v>361</v>
      </c>
      <c r="B99" s="139" t="s">
        <v>362</v>
      </c>
      <c r="C99" s="139" t="s">
        <v>156</v>
      </c>
      <c r="D99" s="139" t="s">
        <v>162</v>
      </c>
      <c r="E99" s="139" t="s">
        <v>100</v>
      </c>
      <c r="F99" s="115">
        <v>2365.4499999999998</v>
      </c>
      <c r="G99" s="140">
        <v>2365.4499999999998</v>
      </c>
      <c r="H99" s="126"/>
      <c r="I99" s="143"/>
      <c r="J99" s="32">
        <f t="shared" si="0"/>
        <v>2365.4499999999998</v>
      </c>
    </row>
    <row r="100" spans="1:10">
      <c r="A100" s="139" t="s">
        <v>363</v>
      </c>
      <c r="B100" s="139" t="s">
        <v>364</v>
      </c>
      <c r="C100" s="139" t="s">
        <v>156</v>
      </c>
      <c r="D100" s="139" t="s">
        <v>162</v>
      </c>
      <c r="E100" s="139" t="s">
        <v>100</v>
      </c>
      <c r="F100" s="115">
        <v>1400</v>
      </c>
      <c r="G100" s="140">
        <v>1400</v>
      </c>
      <c r="H100" s="126"/>
      <c r="I100" s="143"/>
      <c r="J100" s="32">
        <f t="shared" si="0"/>
        <v>1400</v>
      </c>
    </row>
    <row r="101" spans="1:10">
      <c r="A101" s="139" t="s">
        <v>365</v>
      </c>
      <c r="B101" s="139" t="s">
        <v>366</v>
      </c>
      <c r="C101" s="139" t="s">
        <v>156</v>
      </c>
      <c r="D101" s="139" t="s">
        <v>162</v>
      </c>
      <c r="E101" s="139" t="s">
        <v>100</v>
      </c>
      <c r="F101" s="115">
        <v>0</v>
      </c>
      <c r="G101" s="140">
        <v>0</v>
      </c>
      <c r="H101" s="126"/>
      <c r="I101" s="143"/>
      <c r="J101" s="32">
        <f t="shared" si="0"/>
        <v>0</v>
      </c>
    </row>
    <row r="102" spans="1:10">
      <c r="A102" s="139" t="s">
        <v>367</v>
      </c>
      <c r="B102" s="139" t="s">
        <v>368</v>
      </c>
      <c r="C102" s="139" t="s">
        <v>156</v>
      </c>
      <c r="D102" s="139" t="s">
        <v>169</v>
      </c>
      <c r="E102" s="139" t="s">
        <v>369</v>
      </c>
      <c r="F102" s="115">
        <v>529235.02</v>
      </c>
      <c r="G102" s="140">
        <v>532887.98</v>
      </c>
      <c r="H102" s="126"/>
      <c r="I102" s="143"/>
      <c r="J102" s="32"/>
    </row>
    <row r="103" spans="1:10">
      <c r="A103" s="139" t="s">
        <v>370</v>
      </c>
      <c r="B103" s="139" t="s">
        <v>371</v>
      </c>
      <c r="C103" s="139" t="s">
        <v>156</v>
      </c>
      <c r="D103" s="139" t="s">
        <v>157</v>
      </c>
      <c r="E103" s="139" t="s">
        <v>100</v>
      </c>
      <c r="F103" s="115">
        <v>0</v>
      </c>
      <c r="G103" s="140">
        <v>0</v>
      </c>
      <c r="H103" s="126"/>
      <c r="I103" s="143"/>
      <c r="J103" s="32">
        <f t="shared" si="0"/>
        <v>0</v>
      </c>
    </row>
    <row r="104" spans="1:10">
      <c r="A104" s="139" t="s">
        <v>372</v>
      </c>
      <c r="B104" s="139" t="s">
        <v>373</v>
      </c>
      <c r="C104" s="139" t="s">
        <v>156</v>
      </c>
      <c r="D104" s="139" t="s">
        <v>157</v>
      </c>
      <c r="E104" s="139" t="s">
        <v>100</v>
      </c>
      <c r="F104" s="115">
        <v>0</v>
      </c>
      <c r="G104" s="140">
        <v>0</v>
      </c>
      <c r="H104" s="126"/>
      <c r="I104" s="143"/>
      <c r="J104" s="32">
        <f t="shared" si="0"/>
        <v>0</v>
      </c>
    </row>
    <row r="105" spans="1:10">
      <c r="A105" s="139" t="s">
        <v>374</v>
      </c>
      <c r="B105" s="139" t="s">
        <v>375</v>
      </c>
      <c r="C105" s="139" t="s">
        <v>156</v>
      </c>
      <c r="D105" s="139" t="s">
        <v>162</v>
      </c>
      <c r="E105" s="139" t="s">
        <v>100</v>
      </c>
      <c r="F105" s="115">
        <v>125766.94</v>
      </c>
      <c r="G105" s="140">
        <v>137650.01999999999</v>
      </c>
      <c r="H105" s="126"/>
      <c r="I105" s="143"/>
      <c r="J105" s="32">
        <f t="shared" si="0"/>
        <v>125766.94</v>
      </c>
    </row>
    <row r="106" spans="1:10">
      <c r="A106" s="139" t="s">
        <v>376</v>
      </c>
      <c r="B106" s="139" t="s">
        <v>377</v>
      </c>
      <c r="C106" s="139" t="s">
        <v>156</v>
      </c>
      <c r="D106" s="139" t="s">
        <v>162</v>
      </c>
      <c r="E106" s="139" t="s">
        <v>100</v>
      </c>
      <c r="F106" s="115">
        <v>0</v>
      </c>
      <c r="G106" s="140">
        <v>7406.57</v>
      </c>
      <c r="H106" s="126"/>
      <c r="I106" s="143"/>
      <c r="J106" s="32">
        <f t="shared" si="0"/>
        <v>0</v>
      </c>
    </row>
    <row r="107" spans="1:10">
      <c r="A107" s="139" t="s">
        <v>378</v>
      </c>
      <c r="B107" s="139" t="s">
        <v>379</v>
      </c>
      <c r="C107" s="139" t="s">
        <v>156</v>
      </c>
      <c r="D107" s="139" t="s">
        <v>169</v>
      </c>
      <c r="E107" s="139" t="s">
        <v>380</v>
      </c>
      <c r="F107" s="115">
        <v>125766.94</v>
      </c>
      <c r="G107" s="140">
        <v>145056.59</v>
      </c>
      <c r="H107" s="126"/>
      <c r="I107" s="143"/>
      <c r="J107" s="32"/>
    </row>
    <row r="108" spans="1:10">
      <c r="A108" s="139" t="s">
        <v>381</v>
      </c>
      <c r="B108" s="139" t="s">
        <v>382</v>
      </c>
      <c r="C108" s="139" t="s">
        <v>156</v>
      </c>
      <c r="D108" s="139" t="s">
        <v>157</v>
      </c>
      <c r="E108" s="139" t="s">
        <v>100</v>
      </c>
      <c r="F108" s="115">
        <v>0</v>
      </c>
      <c r="G108" s="140">
        <v>0</v>
      </c>
      <c r="H108" s="126"/>
      <c r="I108" s="143"/>
      <c r="J108" s="32">
        <f t="shared" si="0"/>
        <v>0</v>
      </c>
    </row>
    <row r="109" spans="1:10">
      <c r="A109" s="139" t="s">
        <v>383</v>
      </c>
      <c r="B109" s="139" t="s">
        <v>384</v>
      </c>
      <c r="C109" s="139" t="s">
        <v>156</v>
      </c>
      <c r="D109" s="139" t="s">
        <v>162</v>
      </c>
      <c r="E109" s="139" t="s">
        <v>100</v>
      </c>
      <c r="F109" s="115">
        <v>22048.02</v>
      </c>
      <c r="G109" s="140">
        <v>22814.16</v>
      </c>
      <c r="H109" s="126"/>
      <c r="I109" s="143"/>
      <c r="J109" s="32">
        <f t="shared" si="0"/>
        <v>22048.02</v>
      </c>
    </row>
    <row r="110" spans="1:10">
      <c r="A110" s="139" t="s">
        <v>385</v>
      </c>
      <c r="B110" s="139" t="s">
        <v>386</v>
      </c>
      <c r="C110" s="139" t="s">
        <v>156</v>
      </c>
      <c r="D110" s="139" t="s">
        <v>162</v>
      </c>
      <c r="E110" s="139" t="s">
        <v>100</v>
      </c>
      <c r="F110" s="115">
        <v>104166.19</v>
      </c>
      <c r="G110" s="140">
        <v>104166.19</v>
      </c>
      <c r="H110" s="126"/>
      <c r="I110" s="143"/>
      <c r="J110" s="32">
        <f t="shared" si="0"/>
        <v>104166.19</v>
      </c>
    </row>
    <row r="111" spans="1:10">
      <c r="A111" s="139" t="s">
        <v>387</v>
      </c>
      <c r="B111" s="139" t="s">
        <v>388</v>
      </c>
      <c r="C111" s="139" t="s">
        <v>156</v>
      </c>
      <c r="D111" s="139" t="s">
        <v>162</v>
      </c>
      <c r="E111" s="139" t="s">
        <v>100</v>
      </c>
      <c r="F111" s="115">
        <v>-50466.41</v>
      </c>
      <c r="G111" s="140">
        <v>-50466.41</v>
      </c>
      <c r="H111" s="126"/>
      <c r="I111" s="143"/>
      <c r="J111" s="32">
        <f t="shared" si="0"/>
        <v>-50466.41</v>
      </c>
    </row>
    <row r="112" spans="1:10">
      <c r="A112" s="139" t="s">
        <v>389</v>
      </c>
      <c r="B112" s="139" t="s">
        <v>390</v>
      </c>
      <c r="C112" s="139" t="s">
        <v>156</v>
      </c>
      <c r="D112" s="139" t="s">
        <v>162</v>
      </c>
      <c r="E112" s="139" t="s">
        <v>100</v>
      </c>
      <c r="F112" s="115">
        <v>29554.12</v>
      </c>
      <c r="G112" s="140">
        <v>47018.22</v>
      </c>
      <c r="H112" s="126"/>
      <c r="I112" s="143"/>
      <c r="J112" s="32">
        <f t="shared" si="0"/>
        <v>29554.12</v>
      </c>
    </row>
    <row r="113" spans="1:10">
      <c r="A113" s="139" t="s">
        <v>391</v>
      </c>
      <c r="B113" s="139" t="s">
        <v>392</v>
      </c>
      <c r="C113" s="139" t="s">
        <v>156</v>
      </c>
      <c r="D113" s="139" t="s">
        <v>162</v>
      </c>
      <c r="E113" s="139" t="s">
        <v>100</v>
      </c>
      <c r="F113" s="115">
        <v>0</v>
      </c>
      <c r="G113" s="140">
        <v>0</v>
      </c>
      <c r="H113" s="126"/>
      <c r="I113" s="143"/>
      <c r="J113" s="32">
        <f t="shared" si="0"/>
        <v>0</v>
      </c>
    </row>
    <row r="114" spans="1:10">
      <c r="A114" s="139" t="s">
        <v>393</v>
      </c>
      <c r="B114" s="139" t="s">
        <v>394</v>
      </c>
      <c r="C114" s="139" t="s">
        <v>156</v>
      </c>
      <c r="D114" s="139" t="s">
        <v>162</v>
      </c>
      <c r="E114" s="139" t="s">
        <v>100</v>
      </c>
      <c r="F114" s="115">
        <v>0</v>
      </c>
      <c r="G114" s="140">
        <v>0</v>
      </c>
      <c r="H114" s="126"/>
      <c r="I114" s="143"/>
      <c r="J114" s="32">
        <f t="shared" si="0"/>
        <v>0</v>
      </c>
    </row>
    <row r="115" spans="1:10">
      <c r="A115" s="139" t="s">
        <v>395</v>
      </c>
      <c r="B115" s="139" t="s">
        <v>396</v>
      </c>
      <c r="C115" s="139" t="s">
        <v>156</v>
      </c>
      <c r="D115" s="139" t="s">
        <v>162</v>
      </c>
      <c r="E115" s="139" t="s">
        <v>100</v>
      </c>
      <c r="F115" s="115">
        <v>-7665.02</v>
      </c>
      <c r="G115" s="140">
        <v>-7665.02</v>
      </c>
      <c r="H115" s="126"/>
      <c r="I115" s="143"/>
      <c r="J115" s="32">
        <f t="shared" si="0"/>
        <v>-7665.02</v>
      </c>
    </row>
    <row r="116" spans="1:10">
      <c r="A116" s="139" t="s">
        <v>397</v>
      </c>
      <c r="B116" s="139" t="s">
        <v>398</v>
      </c>
      <c r="C116" s="139" t="s">
        <v>156</v>
      </c>
      <c r="D116" s="139" t="s">
        <v>162</v>
      </c>
      <c r="E116" s="139" t="s">
        <v>100</v>
      </c>
      <c r="F116" s="115">
        <v>22518.92</v>
      </c>
      <c r="G116" s="140">
        <v>29942.54</v>
      </c>
      <c r="H116" s="126"/>
      <c r="I116" s="143"/>
      <c r="J116" s="32">
        <f t="shared" si="0"/>
        <v>22518.92</v>
      </c>
    </row>
    <row r="117" spans="1:10">
      <c r="A117" s="139" t="s">
        <v>399</v>
      </c>
      <c r="B117" s="139" t="s">
        <v>400</v>
      </c>
      <c r="C117" s="139" t="s">
        <v>156</v>
      </c>
      <c r="D117" s="139" t="s">
        <v>162</v>
      </c>
      <c r="E117" s="139" t="s">
        <v>100</v>
      </c>
      <c r="F117" s="115">
        <v>6619.32</v>
      </c>
      <c r="G117" s="140">
        <v>6619.32</v>
      </c>
      <c r="H117" s="126"/>
      <c r="I117" s="143"/>
      <c r="J117" s="32">
        <f t="shared" si="0"/>
        <v>6619.32</v>
      </c>
    </row>
    <row r="118" spans="1:10">
      <c r="A118" s="139" t="s">
        <v>401</v>
      </c>
      <c r="B118" s="139" t="s">
        <v>402</v>
      </c>
      <c r="C118" s="139" t="s">
        <v>156</v>
      </c>
      <c r="D118" s="139" t="s">
        <v>162</v>
      </c>
      <c r="E118" s="139" t="s">
        <v>100</v>
      </c>
      <c r="F118" s="115">
        <v>33058.9</v>
      </c>
      <c r="G118" s="140">
        <v>33058.9</v>
      </c>
      <c r="H118" s="126"/>
      <c r="I118" s="143"/>
      <c r="J118" s="32">
        <f t="shared" si="0"/>
        <v>33058.9</v>
      </c>
    </row>
    <row r="119" spans="1:10">
      <c r="A119" s="139" t="s">
        <v>403</v>
      </c>
      <c r="B119" s="139" t="s">
        <v>404</v>
      </c>
      <c r="C119" s="139" t="s">
        <v>156</v>
      </c>
      <c r="D119" s="139" t="s">
        <v>162</v>
      </c>
      <c r="E119" s="139" t="s">
        <v>100</v>
      </c>
      <c r="F119" s="115">
        <v>0</v>
      </c>
      <c r="G119" s="140">
        <v>0</v>
      </c>
      <c r="H119" s="126"/>
      <c r="I119" s="143"/>
      <c r="J119" s="32">
        <f t="shared" si="0"/>
        <v>0</v>
      </c>
    </row>
    <row r="120" spans="1:10">
      <c r="A120" s="139" t="s">
        <v>405</v>
      </c>
      <c r="B120" s="139" t="s">
        <v>406</v>
      </c>
      <c r="C120" s="139" t="s">
        <v>156</v>
      </c>
      <c r="D120" s="139" t="s">
        <v>162</v>
      </c>
      <c r="E120" s="139" t="s">
        <v>100</v>
      </c>
      <c r="F120" s="115">
        <v>0</v>
      </c>
      <c r="G120" s="140">
        <v>0</v>
      </c>
      <c r="H120" s="126"/>
      <c r="I120" s="143"/>
      <c r="J120" s="32">
        <f t="shared" si="0"/>
        <v>0</v>
      </c>
    </row>
    <row r="121" spans="1:10">
      <c r="A121" s="139" t="s">
        <v>407</v>
      </c>
      <c r="B121" s="139" t="s">
        <v>220</v>
      </c>
      <c r="C121" s="139" t="s">
        <v>156</v>
      </c>
      <c r="D121" s="139" t="s">
        <v>162</v>
      </c>
      <c r="E121" s="139" t="s">
        <v>100</v>
      </c>
      <c r="F121" s="115">
        <v>0</v>
      </c>
      <c r="G121" s="140">
        <v>0</v>
      </c>
      <c r="H121" s="126"/>
      <c r="I121" s="143"/>
      <c r="J121" s="32">
        <f t="shared" si="0"/>
        <v>0</v>
      </c>
    </row>
    <row r="122" spans="1:10">
      <c r="A122" s="139" t="s">
        <v>408</v>
      </c>
      <c r="B122" s="139" t="s">
        <v>409</v>
      </c>
      <c r="C122" s="139" t="s">
        <v>156</v>
      </c>
      <c r="D122" s="139" t="s">
        <v>169</v>
      </c>
      <c r="E122" s="139" t="s">
        <v>410</v>
      </c>
      <c r="F122" s="115">
        <v>159834.04</v>
      </c>
      <c r="G122" s="140">
        <v>185487.9</v>
      </c>
      <c r="H122" s="126"/>
      <c r="I122" s="143"/>
      <c r="J122" s="32"/>
    </row>
    <row r="123" spans="1:10">
      <c r="A123" s="139" t="s">
        <v>411</v>
      </c>
      <c r="B123" s="139" t="s">
        <v>412</v>
      </c>
      <c r="C123" s="139" t="s">
        <v>156</v>
      </c>
      <c r="D123" s="139" t="s">
        <v>157</v>
      </c>
      <c r="E123" s="139" t="s">
        <v>100</v>
      </c>
      <c r="F123" s="115">
        <v>0</v>
      </c>
      <c r="G123" s="140">
        <v>0</v>
      </c>
      <c r="H123" s="126"/>
      <c r="I123" s="143"/>
      <c r="J123" s="32">
        <f t="shared" si="0"/>
        <v>0</v>
      </c>
    </row>
    <row r="124" spans="1:10">
      <c r="A124" s="139" t="s">
        <v>413</v>
      </c>
      <c r="B124" s="139" t="s">
        <v>414</v>
      </c>
      <c r="C124" s="139" t="s">
        <v>156</v>
      </c>
      <c r="D124" s="139" t="s">
        <v>162</v>
      </c>
      <c r="E124" s="139" t="s">
        <v>100</v>
      </c>
      <c r="F124" s="115">
        <v>0</v>
      </c>
      <c r="G124" s="140">
        <v>0</v>
      </c>
      <c r="H124" s="126"/>
      <c r="I124" s="143"/>
      <c r="J124" s="32">
        <f t="shared" si="0"/>
        <v>0</v>
      </c>
    </row>
    <row r="125" spans="1:10">
      <c r="A125" s="139" t="s">
        <v>415</v>
      </c>
      <c r="B125" s="139" t="s">
        <v>416</v>
      </c>
      <c r="C125" s="139" t="s">
        <v>156</v>
      </c>
      <c r="D125" s="139" t="s">
        <v>169</v>
      </c>
      <c r="E125" s="139" t="s">
        <v>417</v>
      </c>
      <c r="F125" s="115">
        <v>0</v>
      </c>
      <c r="G125" s="140">
        <v>0</v>
      </c>
      <c r="H125" s="126"/>
      <c r="I125" s="143"/>
      <c r="J125" s="32"/>
    </row>
    <row r="126" spans="1:10">
      <c r="A126" s="139" t="s">
        <v>418</v>
      </c>
      <c r="B126" s="139" t="s">
        <v>419</v>
      </c>
      <c r="C126" s="139" t="s">
        <v>156</v>
      </c>
      <c r="D126" s="139" t="s">
        <v>157</v>
      </c>
      <c r="E126" s="139" t="s">
        <v>100</v>
      </c>
      <c r="F126" s="115">
        <v>0</v>
      </c>
      <c r="G126" s="140">
        <v>0</v>
      </c>
      <c r="H126" s="126"/>
      <c r="I126" s="143"/>
      <c r="J126" s="32">
        <f t="shared" si="0"/>
        <v>0</v>
      </c>
    </row>
    <row r="127" spans="1:10">
      <c r="A127" s="139" t="s">
        <v>420</v>
      </c>
      <c r="B127" s="139" t="s">
        <v>56</v>
      </c>
      <c r="C127" s="139" t="s">
        <v>156</v>
      </c>
      <c r="D127" s="139" t="s">
        <v>162</v>
      </c>
      <c r="E127" s="139" t="s">
        <v>100</v>
      </c>
      <c r="F127" s="115">
        <v>8214.75</v>
      </c>
      <c r="G127" s="140">
        <v>8214.75</v>
      </c>
      <c r="H127" s="126"/>
      <c r="I127" s="143"/>
      <c r="J127" s="32">
        <f t="shared" si="0"/>
        <v>8214.75</v>
      </c>
    </row>
    <row r="128" spans="1:10">
      <c r="A128" s="139" t="s">
        <v>421</v>
      </c>
      <c r="B128" s="139" t="s">
        <v>422</v>
      </c>
      <c r="C128" s="139" t="s">
        <v>156</v>
      </c>
      <c r="D128" s="139" t="s">
        <v>169</v>
      </c>
      <c r="E128" s="139" t="s">
        <v>423</v>
      </c>
      <c r="F128" s="115">
        <v>8214.75</v>
      </c>
      <c r="G128" s="140">
        <v>8214.75</v>
      </c>
      <c r="H128" s="126"/>
      <c r="I128" s="143"/>
      <c r="J128" s="32"/>
    </row>
    <row r="129" spans="1:18">
      <c r="A129" s="139" t="s">
        <v>424</v>
      </c>
      <c r="B129" s="139" t="s">
        <v>425</v>
      </c>
      <c r="C129" s="139" t="s">
        <v>156</v>
      </c>
      <c r="D129" s="139" t="s">
        <v>169</v>
      </c>
      <c r="E129" s="139" t="s">
        <v>426</v>
      </c>
      <c r="F129" s="115">
        <v>293815.73</v>
      </c>
      <c r="G129" s="140">
        <v>338759.24</v>
      </c>
      <c r="H129" s="126"/>
      <c r="I129" s="143"/>
      <c r="J129" s="32"/>
    </row>
    <row r="130" spans="1:18">
      <c r="A130" s="139" t="s">
        <v>427</v>
      </c>
      <c r="B130" s="139" t="s">
        <v>428</v>
      </c>
      <c r="C130" s="139" t="s">
        <v>156</v>
      </c>
      <c r="D130" s="139" t="s">
        <v>157</v>
      </c>
      <c r="E130" s="139" t="s">
        <v>100</v>
      </c>
      <c r="F130" s="115">
        <v>0</v>
      </c>
      <c r="G130" s="140">
        <v>0</v>
      </c>
      <c r="H130" s="126"/>
      <c r="I130" s="143"/>
      <c r="J130" s="32">
        <f t="shared" ref="J130:J192" si="1">+F130</f>
        <v>0</v>
      </c>
    </row>
    <row r="131" spans="1:18">
      <c r="A131" s="139" t="s">
        <v>430</v>
      </c>
      <c r="B131" s="139" t="s">
        <v>431</v>
      </c>
      <c r="C131" s="139" t="s">
        <v>156</v>
      </c>
      <c r="D131" s="139" t="s">
        <v>162</v>
      </c>
      <c r="E131" s="139" t="s">
        <v>100</v>
      </c>
      <c r="F131" s="115">
        <v>-94000.6</v>
      </c>
      <c r="G131" s="140">
        <v>-94000.6</v>
      </c>
      <c r="H131" s="126"/>
      <c r="I131" s="143"/>
      <c r="J131" s="32">
        <f t="shared" si="1"/>
        <v>-94000.6</v>
      </c>
    </row>
    <row r="132" spans="1:18">
      <c r="A132" s="139" t="s">
        <v>439</v>
      </c>
      <c r="B132" s="139" t="s">
        <v>440</v>
      </c>
      <c r="C132" s="139" t="s">
        <v>156</v>
      </c>
      <c r="D132" s="139" t="s">
        <v>162</v>
      </c>
      <c r="E132" s="139" t="s">
        <v>100</v>
      </c>
      <c r="F132" s="115">
        <v>-70287.25</v>
      </c>
      <c r="G132" s="140">
        <v>-70287.25</v>
      </c>
      <c r="H132" s="126"/>
      <c r="I132" s="143"/>
      <c r="J132" s="32">
        <f t="shared" si="1"/>
        <v>-70287.25</v>
      </c>
    </row>
    <row r="133" spans="1:18">
      <c r="A133" s="139" t="s">
        <v>441</v>
      </c>
      <c r="B133" s="139" t="s">
        <v>442</v>
      </c>
      <c r="C133" s="139" t="s">
        <v>156</v>
      </c>
      <c r="D133" s="139" t="s">
        <v>162</v>
      </c>
      <c r="E133" s="139" t="s">
        <v>100</v>
      </c>
      <c r="F133" s="115">
        <v>0</v>
      </c>
      <c r="G133" s="140">
        <v>0</v>
      </c>
      <c r="H133" s="126"/>
      <c r="I133" s="143"/>
      <c r="J133" s="32">
        <f t="shared" si="1"/>
        <v>0</v>
      </c>
    </row>
    <row r="134" spans="1:18">
      <c r="A134" s="139" t="s">
        <v>443</v>
      </c>
      <c r="B134" s="139" t="s">
        <v>444</v>
      </c>
      <c r="C134" s="139" t="s">
        <v>156</v>
      </c>
      <c r="D134" s="139" t="s">
        <v>162</v>
      </c>
      <c r="E134" s="139" t="s">
        <v>100</v>
      </c>
      <c r="F134" s="115">
        <v>119968.47</v>
      </c>
      <c r="G134" s="140">
        <v>121968.47</v>
      </c>
      <c r="H134" s="126"/>
      <c r="I134" s="143"/>
      <c r="J134" s="32">
        <f t="shared" si="1"/>
        <v>119968.47</v>
      </c>
    </row>
    <row r="135" spans="1:18">
      <c r="A135" s="139" t="s">
        <v>445</v>
      </c>
      <c r="B135" s="139" t="s">
        <v>446</v>
      </c>
      <c r="C135" s="139" t="s">
        <v>156</v>
      </c>
      <c r="D135" s="139" t="s">
        <v>162</v>
      </c>
      <c r="E135" s="139" t="s">
        <v>100</v>
      </c>
      <c r="F135" s="115">
        <v>0</v>
      </c>
      <c r="G135" s="140">
        <v>0</v>
      </c>
      <c r="H135" s="126"/>
      <c r="I135" s="143"/>
      <c r="J135" s="32">
        <f t="shared" si="1"/>
        <v>0</v>
      </c>
    </row>
    <row r="136" spans="1:18">
      <c r="A136" s="139" t="s">
        <v>447</v>
      </c>
      <c r="B136" s="139" t="s">
        <v>448</v>
      </c>
      <c r="C136" s="139" t="s">
        <v>156</v>
      </c>
      <c r="D136" s="139" t="s">
        <v>162</v>
      </c>
      <c r="E136" s="139" t="s">
        <v>100</v>
      </c>
      <c r="F136" s="115">
        <v>612312.29</v>
      </c>
      <c r="G136" s="140">
        <v>663994.17000000004</v>
      </c>
      <c r="H136" s="126"/>
      <c r="I136" s="143"/>
      <c r="J136" s="32">
        <f t="shared" si="1"/>
        <v>612312.29</v>
      </c>
    </row>
    <row r="137" spans="1:18">
      <c r="A137" s="139" t="s">
        <v>449</v>
      </c>
      <c r="B137" s="139" t="s">
        <v>450</v>
      </c>
      <c r="C137" s="139" t="s">
        <v>156</v>
      </c>
      <c r="D137" s="139" t="s">
        <v>162</v>
      </c>
      <c r="E137" s="139" t="s">
        <v>100</v>
      </c>
      <c r="F137" s="115">
        <v>171505.94</v>
      </c>
      <c r="G137" s="140">
        <v>171505.94</v>
      </c>
      <c r="H137" s="126"/>
      <c r="I137" s="143"/>
      <c r="J137" s="32">
        <f t="shared" si="1"/>
        <v>171505.94</v>
      </c>
    </row>
    <row r="138" spans="1:18">
      <c r="A138" s="139" t="s">
        <v>451</v>
      </c>
      <c r="B138" s="139" t="s">
        <v>452</v>
      </c>
      <c r="C138" s="139" t="s">
        <v>156</v>
      </c>
      <c r="D138" s="139" t="s">
        <v>162</v>
      </c>
      <c r="E138" s="139" t="s">
        <v>100</v>
      </c>
      <c r="F138" s="115">
        <v>361142.31</v>
      </c>
      <c r="G138" s="140">
        <v>361142.31</v>
      </c>
      <c r="H138" s="126"/>
      <c r="I138" s="143"/>
      <c r="J138" s="32">
        <f t="shared" si="1"/>
        <v>361142.31</v>
      </c>
    </row>
    <row r="139" spans="1:18">
      <c r="A139" s="139" t="s">
        <v>453</v>
      </c>
      <c r="B139" s="139" t="s">
        <v>454</v>
      </c>
      <c r="C139" s="139" t="s">
        <v>156</v>
      </c>
      <c r="D139" s="139" t="s">
        <v>162</v>
      </c>
      <c r="E139" s="139" t="s">
        <v>100</v>
      </c>
      <c r="F139" s="115">
        <v>0</v>
      </c>
      <c r="G139" s="140">
        <v>0</v>
      </c>
      <c r="H139" s="126"/>
      <c r="I139" s="143"/>
      <c r="J139" s="32">
        <f t="shared" si="1"/>
        <v>0</v>
      </c>
    </row>
    <row r="140" spans="1:18">
      <c r="A140" s="139" t="s">
        <v>455</v>
      </c>
      <c r="B140" s="139" t="s">
        <v>456</v>
      </c>
      <c r="C140" s="139" t="s">
        <v>156</v>
      </c>
      <c r="D140" s="139" t="s">
        <v>162</v>
      </c>
      <c r="E140" s="139" t="s">
        <v>100</v>
      </c>
      <c r="F140" s="115">
        <v>3348.58</v>
      </c>
      <c r="G140" s="140">
        <v>3348.58</v>
      </c>
      <c r="H140" s="126"/>
      <c r="I140" s="143"/>
      <c r="J140" s="32">
        <f t="shared" si="1"/>
        <v>3348.58</v>
      </c>
    </row>
    <row r="141" spans="1:18">
      <c r="A141" s="139" t="s">
        <v>457</v>
      </c>
      <c r="B141" s="139" t="s">
        <v>458</v>
      </c>
      <c r="C141" s="139" t="s">
        <v>156</v>
      </c>
      <c r="D141" s="139" t="s">
        <v>162</v>
      </c>
      <c r="E141" s="139" t="s">
        <v>100</v>
      </c>
      <c r="F141" s="115">
        <v>41963.92</v>
      </c>
      <c r="G141" s="140">
        <v>43289.22</v>
      </c>
      <c r="H141" s="126"/>
      <c r="I141" s="143"/>
      <c r="J141" s="32">
        <f t="shared" si="1"/>
        <v>41963.92</v>
      </c>
    </row>
    <row r="142" spans="1:18" ht="16">
      <c r="A142" s="139" t="s">
        <v>459</v>
      </c>
      <c r="B142" s="139" t="s">
        <v>460</v>
      </c>
      <c r="C142" s="139" t="s">
        <v>156</v>
      </c>
      <c r="D142" s="139" t="s">
        <v>162</v>
      </c>
      <c r="E142" s="139" t="s">
        <v>100</v>
      </c>
      <c r="F142" s="115">
        <v>22726.9</v>
      </c>
      <c r="G142" s="140">
        <v>22726.9</v>
      </c>
      <c r="H142" s="126"/>
      <c r="I142" s="143"/>
      <c r="J142" s="32">
        <f t="shared" si="1"/>
        <v>22726.9</v>
      </c>
      <c r="M142" s="137"/>
      <c r="N142" s="136"/>
      <c r="O142" s="136"/>
      <c r="P142" s="136"/>
      <c r="Q142" s="136"/>
      <c r="R142" s="136"/>
    </row>
    <row r="143" spans="1:18">
      <c r="A143" s="139" t="s">
        <v>461</v>
      </c>
      <c r="B143" s="139" t="s">
        <v>462</v>
      </c>
      <c r="C143" s="139" t="s">
        <v>156</v>
      </c>
      <c r="D143" s="139" t="s">
        <v>169</v>
      </c>
      <c r="E143" s="139" t="s">
        <v>463</v>
      </c>
      <c r="F143" s="115">
        <v>1168680.56</v>
      </c>
      <c r="G143" s="140">
        <v>1223687.74</v>
      </c>
      <c r="H143" s="126"/>
      <c r="I143" s="143"/>
      <c r="J143" s="32"/>
      <c r="M143" s="138" t="s">
        <v>432</v>
      </c>
      <c r="N143" s="138" t="s">
        <v>148</v>
      </c>
      <c r="O143" s="138" t="s">
        <v>433</v>
      </c>
      <c r="P143" s="138" t="s">
        <v>475</v>
      </c>
      <c r="Q143" s="138" t="s">
        <v>476</v>
      </c>
      <c r="R143" s="138" t="s">
        <v>477</v>
      </c>
    </row>
    <row r="144" spans="1:18">
      <c r="A144" s="139" t="s">
        <v>464</v>
      </c>
      <c r="B144" s="139" t="s">
        <v>465</v>
      </c>
      <c r="C144" s="139" t="s">
        <v>156</v>
      </c>
      <c r="D144" s="139" t="s">
        <v>157</v>
      </c>
      <c r="E144" s="139" t="s">
        <v>100</v>
      </c>
      <c r="F144" s="115">
        <v>0</v>
      </c>
      <c r="G144" s="140">
        <v>0</v>
      </c>
      <c r="H144" s="126"/>
      <c r="I144" s="143"/>
      <c r="J144" s="32">
        <f t="shared" si="1"/>
        <v>0</v>
      </c>
      <c r="M144" s="139" t="s">
        <v>468</v>
      </c>
      <c r="N144" s="139" t="s">
        <v>469</v>
      </c>
      <c r="O144" s="140">
        <v>0</v>
      </c>
      <c r="P144" s="140">
        <v>0</v>
      </c>
      <c r="Q144" s="140">
        <v>0</v>
      </c>
      <c r="R144" s="140">
        <v>0</v>
      </c>
    </row>
    <row r="145" spans="1:18">
      <c r="A145" s="139" t="s">
        <v>466</v>
      </c>
      <c r="B145" s="139" t="s">
        <v>467</v>
      </c>
      <c r="C145" s="139" t="s">
        <v>156</v>
      </c>
      <c r="D145" s="139" t="s">
        <v>157</v>
      </c>
      <c r="E145" s="139" t="s">
        <v>100</v>
      </c>
      <c r="F145" s="115">
        <v>0</v>
      </c>
      <c r="G145" s="140">
        <v>0</v>
      </c>
      <c r="H145" s="126"/>
      <c r="I145" s="143"/>
      <c r="J145" s="32">
        <f t="shared" si="1"/>
        <v>0</v>
      </c>
      <c r="M145" s="139" t="s">
        <v>470</v>
      </c>
      <c r="N145" s="139" t="s">
        <v>155</v>
      </c>
      <c r="O145" s="140">
        <v>0</v>
      </c>
      <c r="P145" s="140">
        <v>0</v>
      </c>
      <c r="Q145" s="140">
        <v>0</v>
      </c>
      <c r="R145" s="140">
        <v>0</v>
      </c>
    </row>
    <row r="146" spans="1:18">
      <c r="A146" s="139" t="s">
        <v>468</v>
      </c>
      <c r="B146" s="139" t="s">
        <v>469</v>
      </c>
      <c r="C146" s="139" t="s">
        <v>156</v>
      </c>
      <c r="D146" s="139" t="s">
        <v>157</v>
      </c>
      <c r="E146" s="139" t="s">
        <v>100</v>
      </c>
      <c r="F146" s="115">
        <v>0</v>
      </c>
      <c r="G146" s="140">
        <v>0</v>
      </c>
      <c r="H146" s="126"/>
      <c r="I146" s="143"/>
      <c r="J146" s="32">
        <f t="shared" si="1"/>
        <v>0</v>
      </c>
      <c r="M146" s="139" t="s">
        <v>471</v>
      </c>
      <c r="N146" s="139" t="s">
        <v>472</v>
      </c>
      <c r="O146" s="140">
        <v>-3783439.17</v>
      </c>
      <c r="P146" s="140">
        <v>-1207920.53</v>
      </c>
      <c r="Q146" s="140">
        <v>-2476742.64</v>
      </c>
      <c r="R146" s="140">
        <v>-98776</v>
      </c>
    </row>
    <row r="147" spans="1:18">
      <c r="A147" s="139" t="s">
        <v>470</v>
      </c>
      <c r="B147" s="139" t="s">
        <v>155</v>
      </c>
      <c r="C147" s="139" t="s">
        <v>156</v>
      </c>
      <c r="D147" s="139" t="s">
        <v>157</v>
      </c>
      <c r="E147" s="139" t="s">
        <v>100</v>
      </c>
      <c r="F147" s="115">
        <v>0</v>
      </c>
      <c r="G147" s="140">
        <v>0</v>
      </c>
      <c r="H147" s="126"/>
      <c r="I147" s="143"/>
      <c r="J147" s="32">
        <f t="shared" si="1"/>
        <v>0</v>
      </c>
      <c r="M147" s="139" t="s">
        <v>473</v>
      </c>
      <c r="N147" s="139" t="s">
        <v>474</v>
      </c>
      <c r="O147" s="140">
        <v>-1544244.5</v>
      </c>
      <c r="P147" s="140">
        <v>-137046</v>
      </c>
      <c r="Q147" s="140">
        <v>-1407198.5</v>
      </c>
      <c r="R147" s="140">
        <v>0</v>
      </c>
    </row>
    <row r="148" spans="1:18">
      <c r="A148" s="139" t="s">
        <v>471</v>
      </c>
      <c r="B148" s="139" t="s">
        <v>472</v>
      </c>
      <c r="C148" s="139" t="s">
        <v>156</v>
      </c>
      <c r="D148" s="139" t="s">
        <v>162</v>
      </c>
      <c r="E148" s="139" t="s">
        <v>100</v>
      </c>
      <c r="F148" s="115">
        <v>-3783439.17</v>
      </c>
      <c r="G148" s="140">
        <v>-3932157.95</v>
      </c>
      <c r="H148" s="126"/>
      <c r="I148" s="143"/>
      <c r="J148" s="32">
        <f t="shared" si="1"/>
        <v>-3783439.17</v>
      </c>
      <c r="M148" s="139" t="s">
        <v>478</v>
      </c>
      <c r="N148" s="139" t="s">
        <v>479</v>
      </c>
      <c r="O148" s="140">
        <v>167914.93</v>
      </c>
      <c r="P148" s="140">
        <v>39614.78</v>
      </c>
      <c r="Q148" s="140">
        <v>128300.15</v>
      </c>
      <c r="R148" s="140">
        <v>0</v>
      </c>
    </row>
    <row r="149" spans="1:18">
      <c r="A149" s="139" t="s">
        <v>473</v>
      </c>
      <c r="B149" s="139" t="s">
        <v>474</v>
      </c>
      <c r="C149" s="139" t="s">
        <v>156</v>
      </c>
      <c r="D149" s="139" t="s">
        <v>162</v>
      </c>
      <c r="E149" s="139" t="s">
        <v>100</v>
      </c>
      <c r="F149" s="115">
        <v>-1544244.5</v>
      </c>
      <c r="G149" s="140">
        <v>-1606538.5</v>
      </c>
      <c r="H149" s="126"/>
      <c r="I149" s="143"/>
      <c r="J149" s="32">
        <f t="shared" si="1"/>
        <v>-1544244.5</v>
      </c>
      <c r="M149" s="139" t="s">
        <v>480</v>
      </c>
      <c r="N149" s="139" t="s">
        <v>481</v>
      </c>
      <c r="O149" s="140">
        <v>-909156.42</v>
      </c>
      <c r="P149" s="140">
        <v>-55286.27</v>
      </c>
      <c r="Q149" s="140">
        <v>-844199.68</v>
      </c>
      <c r="R149" s="140">
        <v>-9670.4699999999993</v>
      </c>
    </row>
    <row r="150" spans="1:18">
      <c r="A150" s="139" t="s">
        <v>478</v>
      </c>
      <c r="B150" s="139" t="s">
        <v>479</v>
      </c>
      <c r="C150" s="139" t="s">
        <v>156</v>
      </c>
      <c r="D150" s="139" t="s">
        <v>162</v>
      </c>
      <c r="E150" s="139" t="s">
        <v>100</v>
      </c>
      <c r="F150" s="115">
        <v>167914.93</v>
      </c>
      <c r="G150" s="140">
        <v>177047.65</v>
      </c>
      <c r="H150" s="126"/>
      <c r="I150" s="143"/>
      <c r="J150" s="32">
        <f t="shared" si="1"/>
        <v>167914.93</v>
      </c>
      <c r="M150" s="139" t="s">
        <v>482</v>
      </c>
      <c r="N150" s="139" t="s">
        <v>278</v>
      </c>
      <c r="O150" s="140">
        <v>-6068925.1600000001</v>
      </c>
      <c r="P150" s="140">
        <v>-1360638.02</v>
      </c>
      <c r="Q150" s="140">
        <v>-4599840.67</v>
      </c>
      <c r="R150" s="140">
        <v>-108446.47</v>
      </c>
    </row>
    <row r="151" spans="1:18">
      <c r="A151" s="139" t="s">
        <v>480</v>
      </c>
      <c r="B151" s="139" t="s">
        <v>481</v>
      </c>
      <c r="C151" s="139" t="s">
        <v>156</v>
      </c>
      <c r="D151" s="139" t="s">
        <v>162</v>
      </c>
      <c r="E151" s="139" t="s">
        <v>100</v>
      </c>
      <c r="F151" s="115">
        <v>-909156.42</v>
      </c>
      <c r="G151" s="140">
        <v>-940392.72</v>
      </c>
      <c r="H151" s="126">
        <v>9670</v>
      </c>
      <c r="I151" s="143"/>
      <c r="J151" s="32">
        <f>+F151+H151</f>
        <v>-899486.42</v>
      </c>
      <c r="K151" t="s">
        <v>77</v>
      </c>
      <c r="M151" s="139" t="s">
        <v>484</v>
      </c>
      <c r="N151" s="139" t="s">
        <v>485</v>
      </c>
      <c r="O151" s="140">
        <v>0</v>
      </c>
      <c r="P151" s="140">
        <v>0</v>
      </c>
      <c r="Q151" s="140">
        <v>0</v>
      </c>
      <c r="R151" s="140">
        <v>0</v>
      </c>
    </row>
    <row r="152" spans="1:18">
      <c r="A152" s="139" t="s">
        <v>482</v>
      </c>
      <c r="B152" s="139" t="s">
        <v>278</v>
      </c>
      <c r="C152" s="139" t="s">
        <v>156</v>
      </c>
      <c r="D152" s="139" t="s">
        <v>169</v>
      </c>
      <c r="E152" s="139" t="s">
        <v>483</v>
      </c>
      <c r="F152" s="115">
        <v>-6068925.1600000001</v>
      </c>
      <c r="G152" s="140">
        <v>-6302041.5199999996</v>
      </c>
      <c r="H152" s="126"/>
      <c r="I152" s="143"/>
      <c r="J152" s="32"/>
      <c r="M152" s="139" t="s">
        <v>486</v>
      </c>
      <c r="N152" s="139" t="s">
        <v>487</v>
      </c>
      <c r="O152" s="140">
        <v>227709.73</v>
      </c>
      <c r="P152" s="141">
        <v>95637.98</v>
      </c>
      <c r="Q152" s="142">
        <v>132071.75</v>
      </c>
      <c r="R152" s="140">
        <v>0</v>
      </c>
    </row>
    <row r="153" spans="1:18">
      <c r="A153" s="139" t="s">
        <v>484</v>
      </c>
      <c r="B153" s="139" t="s">
        <v>485</v>
      </c>
      <c r="C153" s="139" t="s">
        <v>156</v>
      </c>
      <c r="D153" s="139" t="s">
        <v>157</v>
      </c>
      <c r="E153" s="139" t="s">
        <v>100</v>
      </c>
      <c r="F153" s="115">
        <v>0</v>
      </c>
      <c r="G153" s="140">
        <v>0</v>
      </c>
      <c r="H153" s="126"/>
      <c r="I153" s="143"/>
      <c r="J153" s="32"/>
      <c r="M153" s="139" t="s">
        <v>488</v>
      </c>
      <c r="N153" s="139" t="s">
        <v>489</v>
      </c>
      <c r="O153" s="140">
        <v>251674.88</v>
      </c>
      <c r="P153" s="141">
        <v>226929.17</v>
      </c>
      <c r="Q153" s="142">
        <v>24745.71</v>
      </c>
      <c r="R153" s="140">
        <v>0</v>
      </c>
    </row>
    <row r="154" spans="1:18">
      <c r="A154" s="139" t="s">
        <v>486</v>
      </c>
      <c r="B154" s="139" t="s">
        <v>487</v>
      </c>
      <c r="C154" s="139" t="s">
        <v>156</v>
      </c>
      <c r="D154" s="139" t="s">
        <v>162</v>
      </c>
      <c r="E154" s="139" t="s">
        <v>100</v>
      </c>
      <c r="F154" s="115">
        <v>227709.73</v>
      </c>
      <c r="G154" s="140">
        <v>237268.79</v>
      </c>
      <c r="H154" s="126"/>
      <c r="I154" s="143"/>
      <c r="J154" s="32">
        <f t="shared" si="1"/>
        <v>227709.73</v>
      </c>
      <c r="M154" s="139" t="s">
        <v>490</v>
      </c>
      <c r="N154" s="139" t="s">
        <v>491</v>
      </c>
      <c r="O154" s="140">
        <v>31400.32</v>
      </c>
      <c r="P154" s="141">
        <v>7462.18</v>
      </c>
      <c r="Q154" s="142">
        <v>23938.14</v>
      </c>
      <c r="R154" s="140">
        <v>0</v>
      </c>
    </row>
    <row r="155" spans="1:18">
      <c r="A155" s="139" t="s">
        <v>488</v>
      </c>
      <c r="B155" s="139" t="s">
        <v>489</v>
      </c>
      <c r="C155" s="139" t="s">
        <v>156</v>
      </c>
      <c r="D155" s="139" t="s">
        <v>162</v>
      </c>
      <c r="E155" s="139" t="s">
        <v>100</v>
      </c>
      <c r="F155" s="115">
        <v>251674.88</v>
      </c>
      <c r="G155" s="140">
        <v>382552.78</v>
      </c>
      <c r="H155" s="126"/>
      <c r="I155" s="143"/>
      <c r="J155" s="32">
        <f t="shared" si="1"/>
        <v>251674.88</v>
      </c>
      <c r="M155" s="139" t="s">
        <v>492</v>
      </c>
      <c r="N155" s="139" t="s">
        <v>493</v>
      </c>
      <c r="O155" s="140">
        <v>23683.45</v>
      </c>
      <c r="P155" s="141">
        <v>18942.78</v>
      </c>
      <c r="Q155" s="142">
        <v>4740.67</v>
      </c>
      <c r="R155" s="140">
        <v>0</v>
      </c>
    </row>
    <row r="156" spans="1:18">
      <c r="A156" s="139" t="s">
        <v>490</v>
      </c>
      <c r="B156" s="139" t="s">
        <v>491</v>
      </c>
      <c r="C156" s="139" t="s">
        <v>156</v>
      </c>
      <c r="D156" s="139" t="s">
        <v>162</v>
      </c>
      <c r="E156" s="139" t="s">
        <v>100</v>
      </c>
      <c r="F156" s="115">
        <v>31400.32</v>
      </c>
      <c r="G156" s="140">
        <v>31400.32</v>
      </c>
      <c r="H156" s="126"/>
      <c r="I156" s="143"/>
      <c r="J156" s="32">
        <f t="shared" si="1"/>
        <v>31400.32</v>
      </c>
      <c r="M156" s="139" t="s">
        <v>494</v>
      </c>
      <c r="N156" s="139" t="s">
        <v>495</v>
      </c>
      <c r="O156" s="140">
        <v>229423.99</v>
      </c>
      <c r="P156" s="140">
        <v>68388.11</v>
      </c>
      <c r="Q156" s="142">
        <v>161035.88</v>
      </c>
      <c r="R156" s="140">
        <v>0</v>
      </c>
    </row>
    <row r="157" spans="1:18">
      <c r="A157" s="139" t="s">
        <v>492</v>
      </c>
      <c r="B157" s="139" t="s">
        <v>493</v>
      </c>
      <c r="C157" s="139" t="s">
        <v>156</v>
      </c>
      <c r="D157" s="139" t="s">
        <v>162</v>
      </c>
      <c r="E157" s="139" t="s">
        <v>100</v>
      </c>
      <c r="F157" s="115">
        <v>23683.45</v>
      </c>
      <c r="G157" s="140">
        <v>23683.45</v>
      </c>
      <c r="H157" s="126"/>
      <c r="I157" s="143"/>
      <c r="J157" s="32">
        <f t="shared" si="1"/>
        <v>23683.45</v>
      </c>
      <c r="M157" s="139" t="s">
        <v>496</v>
      </c>
      <c r="N157" s="139" t="s">
        <v>497</v>
      </c>
      <c r="O157" s="140">
        <v>1088116.47</v>
      </c>
      <c r="P157" s="141">
        <v>429800.61</v>
      </c>
      <c r="Q157" s="142">
        <v>658315.86</v>
      </c>
      <c r="R157" s="140">
        <v>0</v>
      </c>
    </row>
    <row r="158" spans="1:18">
      <c r="A158" s="139" t="s">
        <v>494</v>
      </c>
      <c r="B158" s="139" t="s">
        <v>495</v>
      </c>
      <c r="C158" s="139" t="s">
        <v>156</v>
      </c>
      <c r="D158" s="139" t="s">
        <v>162</v>
      </c>
      <c r="E158" s="139" t="s">
        <v>100</v>
      </c>
      <c r="F158" s="115">
        <v>229423.99</v>
      </c>
      <c r="G158" s="140">
        <v>273191.96999999997</v>
      </c>
      <c r="H158" s="126"/>
      <c r="I158" s="143"/>
      <c r="J158" s="32">
        <f t="shared" si="1"/>
        <v>229423.99</v>
      </c>
      <c r="M158" s="139" t="s">
        <v>498</v>
      </c>
      <c r="N158" s="139" t="s">
        <v>499</v>
      </c>
      <c r="O158" s="140">
        <v>-15107.89</v>
      </c>
      <c r="P158" s="141">
        <v>0</v>
      </c>
      <c r="Q158" s="142">
        <v>-12354.4</v>
      </c>
      <c r="R158" s="140">
        <v>-2753.49</v>
      </c>
    </row>
    <row r="159" spans="1:18">
      <c r="A159" s="139" t="s">
        <v>496</v>
      </c>
      <c r="B159" s="139" t="s">
        <v>497</v>
      </c>
      <c r="C159" s="139" t="s">
        <v>156</v>
      </c>
      <c r="D159" s="139" t="s">
        <v>162</v>
      </c>
      <c r="E159" s="139" t="s">
        <v>100</v>
      </c>
      <c r="F159" s="115">
        <v>1088116.47</v>
      </c>
      <c r="G159" s="140">
        <v>1127046.1100000001</v>
      </c>
      <c r="H159" s="126">
        <v>2754</v>
      </c>
      <c r="I159" s="143">
        <f>-31630.17+491.26+466.73</f>
        <v>-30672.18</v>
      </c>
      <c r="J159" s="32">
        <f>+F159+H159+I159</f>
        <v>1060198.29</v>
      </c>
      <c r="K159" t="s">
        <v>77</v>
      </c>
      <c r="M159" s="139" t="s">
        <v>500</v>
      </c>
      <c r="N159" s="139" t="s">
        <v>501</v>
      </c>
      <c r="O159" s="140">
        <v>35839.14</v>
      </c>
      <c r="P159" s="141">
        <v>0</v>
      </c>
      <c r="Q159" s="142">
        <v>35839.14</v>
      </c>
      <c r="R159" s="140">
        <v>0</v>
      </c>
    </row>
    <row r="160" spans="1:18">
      <c r="A160" s="139" t="s">
        <v>498</v>
      </c>
      <c r="B160" s="139" t="s">
        <v>499</v>
      </c>
      <c r="C160" s="139" t="s">
        <v>156</v>
      </c>
      <c r="D160" s="139" t="s">
        <v>162</v>
      </c>
      <c r="E160" s="139" t="s">
        <v>100</v>
      </c>
      <c r="F160" s="115">
        <v>-15107.89</v>
      </c>
      <c r="G160" s="140">
        <v>-28596.36</v>
      </c>
      <c r="H160" s="126"/>
      <c r="I160" s="143"/>
      <c r="J160" s="32">
        <f t="shared" si="1"/>
        <v>-15107.89</v>
      </c>
      <c r="K160" t="s">
        <v>2146</v>
      </c>
      <c r="M160" s="139" t="s">
        <v>502</v>
      </c>
      <c r="N160" s="139" t="s">
        <v>503</v>
      </c>
      <c r="O160" s="140">
        <v>1872740.09</v>
      </c>
      <c r="P160" s="140">
        <v>847160.83</v>
      </c>
      <c r="Q160" s="140">
        <v>1028332.75</v>
      </c>
      <c r="R160" s="140">
        <v>-2753.49</v>
      </c>
    </row>
    <row r="161" spans="1:18">
      <c r="A161" s="139" t="s">
        <v>500</v>
      </c>
      <c r="B161" s="139" t="s">
        <v>501</v>
      </c>
      <c r="C161" s="139" t="s">
        <v>156</v>
      </c>
      <c r="D161" s="139" t="s">
        <v>162</v>
      </c>
      <c r="E161" s="139" t="s">
        <v>100</v>
      </c>
      <c r="F161" s="115">
        <v>35839.14</v>
      </c>
      <c r="G161" s="140">
        <v>35839.14</v>
      </c>
      <c r="H161" s="126"/>
      <c r="I161" s="143"/>
      <c r="J161" s="32">
        <f t="shared" si="1"/>
        <v>35839.14</v>
      </c>
      <c r="M161" s="139" t="s">
        <v>505</v>
      </c>
      <c r="N161" s="139" t="s">
        <v>284</v>
      </c>
      <c r="O161" s="140">
        <v>0</v>
      </c>
      <c r="P161" s="140">
        <v>0</v>
      </c>
      <c r="Q161" s="140">
        <v>0</v>
      </c>
      <c r="R161" s="140">
        <v>0</v>
      </c>
    </row>
    <row r="162" spans="1:18">
      <c r="A162" s="139" t="s">
        <v>502</v>
      </c>
      <c r="B162" s="139" t="s">
        <v>503</v>
      </c>
      <c r="C162" s="139" t="s">
        <v>156</v>
      </c>
      <c r="D162" s="139" t="s">
        <v>169</v>
      </c>
      <c r="E162" s="139" t="s">
        <v>504</v>
      </c>
      <c r="F162" s="115">
        <v>1872740.09</v>
      </c>
      <c r="G162" s="140">
        <v>2082386.2</v>
      </c>
      <c r="H162" s="126"/>
      <c r="I162" s="143"/>
      <c r="J162" s="32"/>
      <c r="M162" s="139" t="s">
        <v>506</v>
      </c>
      <c r="N162" s="139" t="s">
        <v>507</v>
      </c>
      <c r="O162" s="140">
        <v>2657954.54</v>
      </c>
      <c r="P162" s="141">
        <v>515533.01</v>
      </c>
      <c r="Q162" s="142">
        <v>2142421.5299999998</v>
      </c>
      <c r="R162" s="140">
        <v>0</v>
      </c>
    </row>
    <row r="163" spans="1:18">
      <c r="A163" s="139" t="s">
        <v>505</v>
      </c>
      <c r="B163" s="139" t="s">
        <v>284</v>
      </c>
      <c r="C163" s="139" t="s">
        <v>156</v>
      </c>
      <c r="D163" s="139" t="s">
        <v>157</v>
      </c>
      <c r="E163" s="139" t="s">
        <v>100</v>
      </c>
      <c r="F163" s="115">
        <v>0</v>
      </c>
      <c r="G163" s="140">
        <v>0</v>
      </c>
      <c r="H163" s="126"/>
      <c r="I163" s="143"/>
      <c r="J163" s="32"/>
      <c r="M163" s="139" t="s">
        <v>508</v>
      </c>
      <c r="N163" s="139" t="s">
        <v>300</v>
      </c>
      <c r="O163" s="140">
        <v>37419.440000000002</v>
      </c>
      <c r="P163" s="141">
        <v>0</v>
      </c>
      <c r="Q163" s="142">
        <v>37419.440000000002</v>
      </c>
      <c r="R163" s="140">
        <v>0</v>
      </c>
    </row>
    <row r="164" spans="1:18">
      <c r="A164" s="139" t="s">
        <v>506</v>
      </c>
      <c r="B164" s="139" t="s">
        <v>507</v>
      </c>
      <c r="C164" s="139" t="s">
        <v>156</v>
      </c>
      <c r="D164" s="139" t="s">
        <v>162</v>
      </c>
      <c r="E164" s="139" t="s">
        <v>100</v>
      </c>
      <c r="F164" s="115">
        <v>2657954.54</v>
      </c>
      <c r="G164" s="140">
        <v>2858627.21</v>
      </c>
      <c r="H164" s="126"/>
      <c r="I164" s="143"/>
      <c r="J164" s="32">
        <f t="shared" si="1"/>
        <v>2657954.54</v>
      </c>
      <c r="M164" s="139" t="s">
        <v>509</v>
      </c>
      <c r="N164" s="139" t="s">
        <v>294</v>
      </c>
      <c r="O164" s="140">
        <v>-12841.71</v>
      </c>
      <c r="P164" s="141">
        <v>0</v>
      </c>
      <c r="Q164" s="142">
        <v>-12841.71</v>
      </c>
      <c r="R164" s="140">
        <v>0</v>
      </c>
    </row>
    <row r="165" spans="1:18">
      <c r="A165" s="139" t="s">
        <v>508</v>
      </c>
      <c r="B165" s="139" t="s">
        <v>300</v>
      </c>
      <c r="C165" s="139" t="s">
        <v>156</v>
      </c>
      <c r="D165" s="139" t="s">
        <v>162</v>
      </c>
      <c r="E165" s="139" t="s">
        <v>100</v>
      </c>
      <c r="F165" s="115">
        <v>37419.440000000002</v>
      </c>
      <c r="G165" s="140">
        <v>38082.75</v>
      </c>
      <c r="H165" s="126"/>
      <c r="I165" s="143"/>
      <c r="J165" s="32">
        <f t="shared" si="1"/>
        <v>37419.440000000002</v>
      </c>
      <c r="M165" s="139" t="s">
        <v>510</v>
      </c>
      <c r="N165" s="139" t="s">
        <v>511</v>
      </c>
      <c r="O165" s="140">
        <v>134602.79</v>
      </c>
      <c r="P165" s="141">
        <v>23563.61</v>
      </c>
      <c r="Q165" s="142">
        <v>111039.18</v>
      </c>
      <c r="R165" s="140">
        <v>0</v>
      </c>
    </row>
    <row r="166" spans="1:18">
      <c r="A166" s="139" t="s">
        <v>509</v>
      </c>
      <c r="B166" s="139" t="s">
        <v>294</v>
      </c>
      <c r="C166" s="139" t="s">
        <v>156</v>
      </c>
      <c r="D166" s="139" t="s">
        <v>162</v>
      </c>
      <c r="E166" s="139" t="s">
        <v>100</v>
      </c>
      <c r="F166" s="115">
        <v>-12841.71</v>
      </c>
      <c r="G166" s="140">
        <v>-12841.71</v>
      </c>
      <c r="H166" s="126"/>
      <c r="I166" s="143"/>
      <c r="J166" s="32">
        <f t="shared" si="1"/>
        <v>-12841.71</v>
      </c>
      <c r="M166" s="139" t="s">
        <v>512</v>
      </c>
      <c r="N166" s="139" t="s">
        <v>513</v>
      </c>
      <c r="O166" s="140">
        <v>277038.02</v>
      </c>
      <c r="P166" s="141">
        <v>59293.94</v>
      </c>
      <c r="Q166" s="142">
        <v>217744.08</v>
      </c>
      <c r="R166" s="140">
        <v>0</v>
      </c>
    </row>
    <row r="167" spans="1:18">
      <c r="A167" s="139" t="s">
        <v>510</v>
      </c>
      <c r="B167" s="139" t="s">
        <v>511</v>
      </c>
      <c r="C167" s="139" t="s">
        <v>156</v>
      </c>
      <c r="D167" s="139" t="s">
        <v>162</v>
      </c>
      <c r="E167" s="139" t="s">
        <v>100</v>
      </c>
      <c r="F167" s="115">
        <v>134602.79</v>
      </c>
      <c r="G167" s="140">
        <v>145939.01</v>
      </c>
      <c r="H167" s="126"/>
      <c r="I167" s="143"/>
      <c r="J167" s="32">
        <f t="shared" si="1"/>
        <v>134602.79</v>
      </c>
      <c r="M167" s="139" t="s">
        <v>514</v>
      </c>
      <c r="N167" s="139" t="s">
        <v>515</v>
      </c>
      <c r="O167" s="140">
        <v>79472.22</v>
      </c>
      <c r="P167" s="141">
        <v>40334.74</v>
      </c>
      <c r="Q167" s="142">
        <v>39137.480000000003</v>
      </c>
      <c r="R167" s="140">
        <v>0</v>
      </c>
    </row>
    <row r="168" spans="1:18">
      <c r="A168" s="139" t="s">
        <v>512</v>
      </c>
      <c r="B168" s="139" t="s">
        <v>513</v>
      </c>
      <c r="C168" s="139" t="s">
        <v>156</v>
      </c>
      <c r="D168" s="139" t="s">
        <v>162</v>
      </c>
      <c r="E168" s="139" t="s">
        <v>100</v>
      </c>
      <c r="F168" s="115">
        <v>277038.02</v>
      </c>
      <c r="G168" s="140">
        <v>300150.17</v>
      </c>
      <c r="H168" s="126"/>
      <c r="I168" s="143"/>
      <c r="J168" s="32">
        <f t="shared" si="1"/>
        <v>277038.02</v>
      </c>
      <c r="M168" s="139" t="s">
        <v>516</v>
      </c>
      <c r="N168" s="139" t="s">
        <v>306</v>
      </c>
      <c r="O168" s="140">
        <v>64991.93</v>
      </c>
      <c r="P168" s="141">
        <v>31704.080000000002</v>
      </c>
      <c r="Q168" s="142">
        <v>33287.85</v>
      </c>
      <c r="R168" s="140">
        <v>0</v>
      </c>
    </row>
    <row r="169" spans="1:18">
      <c r="A169" s="139" t="s">
        <v>514</v>
      </c>
      <c r="B169" s="139" t="s">
        <v>515</v>
      </c>
      <c r="C169" s="139" t="s">
        <v>156</v>
      </c>
      <c r="D169" s="139" t="s">
        <v>162</v>
      </c>
      <c r="E169" s="139" t="s">
        <v>100</v>
      </c>
      <c r="F169" s="115">
        <v>79472.22</v>
      </c>
      <c r="G169" s="140">
        <v>60960.86</v>
      </c>
      <c r="H169" s="126"/>
      <c r="I169" s="143"/>
      <c r="J169" s="32">
        <f t="shared" si="1"/>
        <v>79472.22</v>
      </c>
      <c r="M169" s="139" t="s">
        <v>517</v>
      </c>
      <c r="N169" s="139" t="s">
        <v>317</v>
      </c>
      <c r="O169" s="140">
        <v>62511.839999999997</v>
      </c>
      <c r="P169" s="141">
        <v>4642.24</v>
      </c>
      <c r="Q169" s="142">
        <v>57869.599999999999</v>
      </c>
      <c r="R169" s="140">
        <v>0</v>
      </c>
    </row>
    <row r="170" spans="1:18">
      <c r="A170" s="139" t="s">
        <v>516</v>
      </c>
      <c r="B170" s="139" t="s">
        <v>306</v>
      </c>
      <c r="C170" s="139" t="s">
        <v>156</v>
      </c>
      <c r="D170" s="139" t="s">
        <v>162</v>
      </c>
      <c r="E170" s="139" t="s">
        <v>100</v>
      </c>
      <c r="F170" s="115">
        <v>64991.93</v>
      </c>
      <c r="G170" s="140">
        <v>67642.67</v>
      </c>
      <c r="H170" s="126"/>
      <c r="I170" s="143"/>
      <c r="J170" s="32">
        <f t="shared" si="1"/>
        <v>64991.93</v>
      </c>
      <c r="M170" s="139" t="s">
        <v>518</v>
      </c>
      <c r="N170" s="139" t="s">
        <v>519</v>
      </c>
      <c r="O170" s="140">
        <v>180491.81</v>
      </c>
      <c r="P170" s="141">
        <v>21080.94</v>
      </c>
      <c r="Q170" s="142">
        <v>159410.87</v>
      </c>
      <c r="R170" s="140">
        <v>0</v>
      </c>
    </row>
    <row r="171" spans="1:18">
      <c r="A171" s="139" t="s">
        <v>517</v>
      </c>
      <c r="B171" s="139" t="s">
        <v>317</v>
      </c>
      <c r="C171" s="139" t="s">
        <v>156</v>
      </c>
      <c r="D171" s="139" t="s">
        <v>162</v>
      </c>
      <c r="E171" s="139" t="s">
        <v>100</v>
      </c>
      <c r="F171" s="115">
        <v>62511.839999999997</v>
      </c>
      <c r="G171" s="140">
        <v>66978.02</v>
      </c>
      <c r="H171" s="126"/>
      <c r="I171" s="143"/>
      <c r="J171" s="32">
        <f t="shared" si="1"/>
        <v>62511.839999999997</v>
      </c>
      <c r="M171" s="139" t="s">
        <v>520</v>
      </c>
      <c r="N171" s="139" t="s">
        <v>521</v>
      </c>
      <c r="O171" s="140">
        <v>2790.73</v>
      </c>
      <c r="P171" s="141">
        <v>829.57</v>
      </c>
      <c r="Q171" s="142">
        <v>1961.16</v>
      </c>
      <c r="R171" s="140">
        <v>0</v>
      </c>
    </row>
    <row r="172" spans="1:18">
      <c r="A172" s="139" t="s">
        <v>518</v>
      </c>
      <c r="B172" s="139" t="s">
        <v>519</v>
      </c>
      <c r="C172" s="139" t="s">
        <v>156</v>
      </c>
      <c r="D172" s="139" t="s">
        <v>162</v>
      </c>
      <c r="E172" s="139" t="s">
        <v>100</v>
      </c>
      <c r="F172" s="115">
        <v>180491.81</v>
      </c>
      <c r="G172" s="140">
        <v>182063.33</v>
      </c>
      <c r="H172" s="126"/>
      <c r="I172" s="143"/>
      <c r="J172" s="32">
        <f t="shared" si="1"/>
        <v>180491.81</v>
      </c>
      <c r="M172" s="139" t="s">
        <v>522</v>
      </c>
      <c r="N172" s="139" t="s">
        <v>216</v>
      </c>
      <c r="O172" s="140">
        <v>0</v>
      </c>
      <c r="P172" s="141">
        <v>0</v>
      </c>
      <c r="Q172" s="142">
        <v>0</v>
      </c>
      <c r="R172" s="140">
        <v>0</v>
      </c>
    </row>
    <row r="173" spans="1:18">
      <c r="A173" s="139" t="s">
        <v>520</v>
      </c>
      <c r="B173" s="139" t="s">
        <v>521</v>
      </c>
      <c r="C173" s="139" t="s">
        <v>156</v>
      </c>
      <c r="D173" s="139" t="s">
        <v>162</v>
      </c>
      <c r="E173" s="139" t="s">
        <v>100</v>
      </c>
      <c r="F173" s="115">
        <v>2790.73</v>
      </c>
      <c r="G173" s="140">
        <v>2790.73</v>
      </c>
      <c r="H173" s="126"/>
      <c r="I173" s="143"/>
      <c r="J173" s="32">
        <f t="shared" si="1"/>
        <v>2790.73</v>
      </c>
      <c r="M173" s="139" t="s">
        <v>523</v>
      </c>
      <c r="N173" s="139" t="s">
        <v>524</v>
      </c>
      <c r="O173" s="140">
        <v>-13999.8</v>
      </c>
      <c r="P173" s="141">
        <v>-2799.96</v>
      </c>
      <c r="Q173" s="142">
        <v>-11199.84</v>
      </c>
      <c r="R173" s="140">
        <v>0</v>
      </c>
    </row>
    <row r="174" spans="1:18">
      <c r="A174" s="139" t="s">
        <v>522</v>
      </c>
      <c r="B174" s="139" t="s">
        <v>216</v>
      </c>
      <c r="C174" s="139" t="s">
        <v>156</v>
      </c>
      <c r="D174" s="139" t="s">
        <v>162</v>
      </c>
      <c r="E174" s="139" t="s">
        <v>100</v>
      </c>
      <c r="F174" s="115">
        <v>0</v>
      </c>
      <c r="G174" s="140">
        <v>0</v>
      </c>
      <c r="H174" s="126"/>
      <c r="I174" s="143"/>
      <c r="J174" s="32">
        <f t="shared" si="1"/>
        <v>0</v>
      </c>
      <c r="M174" s="139" t="s">
        <v>525</v>
      </c>
      <c r="N174" s="139" t="s">
        <v>526</v>
      </c>
      <c r="O174" s="140">
        <v>-440714.5</v>
      </c>
      <c r="P174" s="141">
        <v>86093.8</v>
      </c>
      <c r="Q174" s="142">
        <v>-526808.30000000005</v>
      </c>
      <c r="R174" s="140">
        <v>0</v>
      </c>
    </row>
    <row r="175" spans="1:18">
      <c r="A175" s="139" t="s">
        <v>523</v>
      </c>
      <c r="B175" s="139" t="s">
        <v>524</v>
      </c>
      <c r="C175" s="139" t="s">
        <v>156</v>
      </c>
      <c r="D175" s="139" t="s">
        <v>162</v>
      </c>
      <c r="E175" s="139" t="s">
        <v>100</v>
      </c>
      <c r="F175" s="115">
        <v>-13999.8</v>
      </c>
      <c r="G175" s="140">
        <v>-15208.15</v>
      </c>
      <c r="H175" s="126"/>
      <c r="I175" s="143"/>
      <c r="J175" s="32">
        <f t="shared" si="1"/>
        <v>-13999.8</v>
      </c>
      <c r="M175" s="139" t="s">
        <v>527</v>
      </c>
      <c r="N175" s="139" t="s">
        <v>341</v>
      </c>
      <c r="O175" s="140">
        <v>3029717.31</v>
      </c>
      <c r="P175" s="140">
        <v>780275.97</v>
      </c>
      <c r="Q175" s="140">
        <v>2249441.34</v>
      </c>
      <c r="R175" s="140">
        <v>0</v>
      </c>
    </row>
    <row r="176" spans="1:18">
      <c r="A176" s="139" t="s">
        <v>525</v>
      </c>
      <c r="B176" s="139" t="s">
        <v>526</v>
      </c>
      <c r="C176" s="139" t="s">
        <v>156</v>
      </c>
      <c r="D176" s="139" t="s">
        <v>162</v>
      </c>
      <c r="E176" s="139" t="s">
        <v>100</v>
      </c>
      <c r="F176" s="115">
        <v>-440714</v>
      </c>
      <c r="G176" s="140">
        <v>-440714</v>
      </c>
      <c r="H176" s="126"/>
      <c r="I176" s="143"/>
      <c r="J176" s="32">
        <f t="shared" si="1"/>
        <v>-440714</v>
      </c>
      <c r="M176" s="139" t="s">
        <v>529</v>
      </c>
      <c r="N176" s="139" t="s">
        <v>530</v>
      </c>
      <c r="O176" s="140">
        <v>0</v>
      </c>
      <c r="P176" s="140">
        <v>0</v>
      </c>
      <c r="Q176" s="140">
        <v>0</v>
      </c>
      <c r="R176" s="140">
        <v>0</v>
      </c>
    </row>
    <row r="177" spans="1:18">
      <c r="A177" s="139" t="s">
        <v>527</v>
      </c>
      <c r="B177" s="139" t="s">
        <v>341</v>
      </c>
      <c r="C177" s="139" t="s">
        <v>156</v>
      </c>
      <c r="D177" s="139" t="s">
        <v>169</v>
      </c>
      <c r="E177" s="139" t="s">
        <v>528</v>
      </c>
      <c r="F177" s="115">
        <v>3029717.81</v>
      </c>
      <c r="G177" s="140">
        <v>3254470.89</v>
      </c>
      <c r="H177" s="126"/>
      <c r="I177" s="143"/>
      <c r="J177" s="32"/>
      <c r="M177" s="139" t="s">
        <v>531</v>
      </c>
      <c r="N177" s="139" t="s">
        <v>532</v>
      </c>
      <c r="O177" s="140">
        <v>52223.49</v>
      </c>
      <c r="P177" s="141">
        <v>17609.82</v>
      </c>
      <c r="Q177" s="142">
        <v>34613.67</v>
      </c>
      <c r="R177" s="140">
        <v>0</v>
      </c>
    </row>
    <row r="178" spans="1:18">
      <c r="A178" s="139" t="s">
        <v>529</v>
      </c>
      <c r="B178" s="139" t="s">
        <v>530</v>
      </c>
      <c r="C178" s="139" t="s">
        <v>156</v>
      </c>
      <c r="D178" s="139" t="s">
        <v>157</v>
      </c>
      <c r="E178" s="139" t="s">
        <v>100</v>
      </c>
      <c r="F178" s="115">
        <v>0</v>
      </c>
      <c r="G178" s="140">
        <v>0</v>
      </c>
      <c r="H178" s="126"/>
      <c r="I178" s="143"/>
      <c r="J178" s="32"/>
      <c r="M178" s="139" t="s">
        <v>533</v>
      </c>
      <c r="N178" s="139" t="s">
        <v>534</v>
      </c>
      <c r="O178" s="140">
        <v>9418.61</v>
      </c>
      <c r="P178" s="141">
        <v>179.95</v>
      </c>
      <c r="Q178" s="142">
        <v>9238.66</v>
      </c>
      <c r="R178" s="140">
        <v>0</v>
      </c>
    </row>
    <row r="179" spans="1:18">
      <c r="A179" s="139" t="s">
        <v>531</v>
      </c>
      <c r="B179" s="139" t="s">
        <v>532</v>
      </c>
      <c r="C179" s="139" t="s">
        <v>156</v>
      </c>
      <c r="D179" s="139" t="s">
        <v>162</v>
      </c>
      <c r="E179" s="139" t="s">
        <v>100</v>
      </c>
      <c r="F179" s="115">
        <v>52223.49</v>
      </c>
      <c r="G179" s="140">
        <v>54168.99</v>
      </c>
      <c r="H179" s="126"/>
      <c r="I179" s="143"/>
      <c r="J179" s="32">
        <f t="shared" si="1"/>
        <v>52223.49</v>
      </c>
      <c r="M179" s="139" t="s">
        <v>535</v>
      </c>
      <c r="N179" s="139" t="s">
        <v>536</v>
      </c>
      <c r="O179" s="140">
        <v>10403.620000000001</v>
      </c>
      <c r="P179" s="141">
        <v>0</v>
      </c>
      <c r="Q179" s="142">
        <v>10403.620000000001</v>
      </c>
      <c r="R179" s="140">
        <v>0</v>
      </c>
    </row>
    <row r="180" spans="1:18">
      <c r="A180" s="139" t="s">
        <v>533</v>
      </c>
      <c r="B180" s="139" t="s">
        <v>534</v>
      </c>
      <c r="C180" s="139" t="s">
        <v>156</v>
      </c>
      <c r="D180" s="139" t="s">
        <v>162</v>
      </c>
      <c r="E180" s="139" t="s">
        <v>100</v>
      </c>
      <c r="F180" s="115">
        <v>9418.61</v>
      </c>
      <c r="G180" s="140">
        <v>9418.61</v>
      </c>
      <c r="H180" s="126"/>
      <c r="I180" s="143"/>
      <c r="J180" s="32">
        <f t="shared" si="1"/>
        <v>9418.61</v>
      </c>
      <c r="M180" s="139" t="s">
        <v>537</v>
      </c>
      <c r="N180" s="139" t="s">
        <v>538</v>
      </c>
      <c r="O180" s="140">
        <v>0</v>
      </c>
      <c r="P180" s="141">
        <v>0</v>
      </c>
      <c r="Q180" s="141">
        <v>0</v>
      </c>
      <c r="R180" s="140">
        <v>0</v>
      </c>
    </row>
    <row r="181" spans="1:18">
      <c r="A181" s="139" t="s">
        <v>535</v>
      </c>
      <c r="B181" s="139" t="s">
        <v>536</v>
      </c>
      <c r="C181" s="139" t="s">
        <v>156</v>
      </c>
      <c r="D181" s="139" t="s">
        <v>162</v>
      </c>
      <c r="E181" s="139" t="s">
        <v>100</v>
      </c>
      <c r="F181" s="115">
        <v>10403.620000000001</v>
      </c>
      <c r="G181" s="140">
        <v>10403.620000000001</v>
      </c>
      <c r="H181" s="126"/>
      <c r="I181" s="143"/>
      <c r="J181" s="32">
        <f t="shared" si="1"/>
        <v>10403.620000000001</v>
      </c>
      <c r="M181" s="139" t="s">
        <v>539</v>
      </c>
      <c r="N181" s="139" t="s">
        <v>540</v>
      </c>
      <c r="O181" s="140">
        <v>266124.24</v>
      </c>
      <c r="P181" s="141">
        <v>101722.09</v>
      </c>
      <c r="Q181" s="142">
        <v>164402.15</v>
      </c>
      <c r="R181" s="140">
        <v>0</v>
      </c>
    </row>
    <row r="182" spans="1:18">
      <c r="A182" s="139" t="s">
        <v>537</v>
      </c>
      <c r="B182" s="139" t="s">
        <v>538</v>
      </c>
      <c r="C182" s="139" t="s">
        <v>156</v>
      </c>
      <c r="D182" s="139" t="s">
        <v>162</v>
      </c>
      <c r="E182" s="139" t="s">
        <v>100</v>
      </c>
      <c r="F182" s="115">
        <v>0</v>
      </c>
      <c r="G182" s="140">
        <v>0</v>
      </c>
      <c r="H182" s="126"/>
      <c r="I182" s="143"/>
      <c r="J182" s="32">
        <f t="shared" si="1"/>
        <v>0</v>
      </c>
      <c r="M182" s="139" t="s">
        <v>541</v>
      </c>
      <c r="N182" s="139" t="s">
        <v>542</v>
      </c>
      <c r="O182" s="140">
        <v>9646.83</v>
      </c>
      <c r="P182" s="141">
        <v>1510.58</v>
      </c>
      <c r="Q182" s="142">
        <v>8136.25</v>
      </c>
      <c r="R182" s="140">
        <v>0</v>
      </c>
    </row>
    <row r="183" spans="1:18">
      <c r="A183" s="139" t="s">
        <v>539</v>
      </c>
      <c r="B183" s="139" t="s">
        <v>540</v>
      </c>
      <c r="C183" s="139" t="s">
        <v>156</v>
      </c>
      <c r="D183" s="139" t="s">
        <v>162</v>
      </c>
      <c r="E183" s="139" t="s">
        <v>100</v>
      </c>
      <c r="F183" s="115">
        <v>266124.24</v>
      </c>
      <c r="G183" s="140">
        <v>286788.46000000002</v>
      </c>
      <c r="H183" s="126"/>
      <c r="I183" s="143"/>
      <c r="J183" s="32">
        <f t="shared" si="1"/>
        <v>266124.24</v>
      </c>
      <c r="M183" s="139" t="s">
        <v>543</v>
      </c>
      <c r="N183" s="139" t="s">
        <v>544</v>
      </c>
      <c r="O183" s="140">
        <v>3665.5</v>
      </c>
      <c r="P183" s="140">
        <v>0</v>
      </c>
      <c r="Q183" s="123">
        <v>3665.5</v>
      </c>
      <c r="R183" s="140">
        <v>0</v>
      </c>
    </row>
    <row r="184" spans="1:18">
      <c r="A184" s="139" t="s">
        <v>541</v>
      </c>
      <c r="B184" s="139" t="s">
        <v>542</v>
      </c>
      <c r="C184" s="139" t="s">
        <v>156</v>
      </c>
      <c r="D184" s="139" t="s">
        <v>162</v>
      </c>
      <c r="E184" s="139" t="s">
        <v>100</v>
      </c>
      <c r="F184" s="115">
        <v>9646.83</v>
      </c>
      <c r="G184" s="140">
        <v>14221.83</v>
      </c>
      <c r="H184" s="126"/>
      <c r="I184" s="143"/>
      <c r="J184" s="32">
        <f t="shared" si="1"/>
        <v>9646.83</v>
      </c>
      <c r="M184" s="139" t="s">
        <v>545</v>
      </c>
      <c r="N184" s="139" t="s">
        <v>546</v>
      </c>
      <c r="O184" s="140">
        <v>0</v>
      </c>
      <c r="P184" s="140">
        <v>0</v>
      </c>
      <c r="Q184" s="140">
        <v>0</v>
      </c>
      <c r="R184" s="140">
        <v>0</v>
      </c>
    </row>
    <row r="185" spans="1:18">
      <c r="A185" s="139" t="s">
        <v>543</v>
      </c>
      <c r="B185" s="139" t="s">
        <v>544</v>
      </c>
      <c r="C185" s="139" t="s">
        <v>156</v>
      </c>
      <c r="D185" s="139" t="s">
        <v>162</v>
      </c>
      <c r="E185" s="139" t="s">
        <v>100</v>
      </c>
      <c r="F185" s="115">
        <v>3665.5</v>
      </c>
      <c r="G185" s="140">
        <v>6861</v>
      </c>
      <c r="H185" s="126"/>
      <c r="I185" s="143"/>
      <c r="J185" s="32">
        <f t="shared" si="1"/>
        <v>3665.5</v>
      </c>
      <c r="M185" s="139" t="s">
        <v>547</v>
      </c>
      <c r="N185" s="139" t="s">
        <v>548</v>
      </c>
      <c r="O185" s="140">
        <v>351482.29</v>
      </c>
      <c r="P185" s="140">
        <v>121022.44</v>
      </c>
      <c r="Q185" s="140">
        <v>230459.85</v>
      </c>
      <c r="R185" s="140">
        <v>0</v>
      </c>
    </row>
    <row r="186" spans="1:18">
      <c r="A186" s="139" t="s">
        <v>545</v>
      </c>
      <c r="B186" s="139" t="s">
        <v>546</v>
      </c>
      <c r="C186" s="139" t="s">
        <v>156</v>
      </c>
      <c r="D186" s="139" t="s">
        <v>162</v>
      </c>
      <c r="E186" s="139" t="s">
        <v>100</v>
      </c>
      <c r="F186" s="115">
        <v>0</v>
      </c>
      <c r="G186" s="140">
        <v>1868.75</v>
      </c>
      <c r="H186" s="126"/>
      <c r="I186" s="143"/>
      <c r="J186" s="32">
        <f t="shared" si="1"/>
        <v>0</v>
      </c>
      <c r="M186" s="139" t="s">
        <v>550</v>
      </c>
      <c r="N186" s="139" t="s">
        <v>551</v>
      </c>
      <c r="O186" s="140">
        <v>0</v>
      </c>
      <c r="P186" s="140">
        <v>0</v>
      </c>
      <c r="Q186" s="140">
        <v>0</v>
      </c>
      <c r="R186" s="140">
        <v>0</v>
      </c>
    </row>
    <row r="187" spans="1:18">
      <c r="A187" s="139" t="s">
        <v>547</v>
      </c>
      <c r="B187" s="139" t="s">
        <v>548</v>
      </c>
      <c r="C187" s="139" t="s">
        <v>156</v>
      </c>
      <c r="D187" s="139" t="s">
        <v>169</v>
      </c>
      <c r="E187" s="139" t="s">
        <v>549</v>
      </c>
      <c r="F187" s="115">
        <v>351482.29</v>
      </c>
      <c r="G187" s="140">
        <v>383731.26</v>
      </c>
      <c r="H187" s="126"/>
      <c r="I187" s="143"/>
      <c r="J187" s="32"/>
      <c r="M187" s="139" t="s">
        <v>552</v>
      </c>
      <c r="N187" s="139" t="s">
        <v>553</v>
      </c>
      <c r="O187" s="140">
        <v>0</v>
      </c>
      <c r="P187" s="140">
        <v>0</v>
      </c>
      <c r="Q187" s="140">
        <v>0</v>
      </c>
      <c r="R187" s="140">
        <v>0</v>
      </c>
    </row>
    <row r="188" spans="1:18">
      <c r="A188" s="139" t="s">
        <v>550</v>
      </c>
      <c r="B188" s="139" t="s">
        <v>551</v>
      </c>
      <c r="C188" s="139" t="s">
        <v>156</v>
      </c>
      <c r="D188" s="139" t="s">
        <v>157</v>
      </c>
      <c r="E188" s="139" t="s">
        <v>100</v>
      </c>
      <c r="F188" s="115">
        <v>0</v>
      </c>
      <c r="G188" s="140">
        <v>0</v>
      </c>
      <c r="H188" s="126"/>
      <c r="I188" s="143"/>
      <c r="J188" s="32"/>
      <c r="M188" s="139" t="s">
        <v>554</v>
      </c>
      <c r="N188" s="139" t="s">
        <v>555</v>
      </c>
      <c r="O188" s="140">
        <v>118569.48</v>
      </c>
      <c r="P188" s="141">
        <v>75802.16</v>
      </c>
      <c r="Q188" s="142">
        <v>42767.32</v>
      </c>
      <c r="R188" s="140">
        <v>0</v>
      </c>
    </row>
    <row r="189" spans="1:18">
      <c r="A189" s="139" t="s">
        <v>552</v>
      </c>
      <c r="B189" s="139" t="s">
        <v>553</v>
      </c>
      <c r="C189" s="139" t="s">
        <v>156</v>
      </c>
      <c r="D189" s="139" t="s">
        <v>162</v>
      </c>
      <c r="E189" s="139" t="s">
        <v>100</v>
      </c>
      <c r="F189" s="115">
        <v>0</v>
      </c>
      <c r="G189" s="140">
        <v>0</v>
      </c>
      <c r="H189" s="126"/>
      <c r="I189" s="143"/>
      <c r="J189" s="32">
        <f t="shared" si="1"/>
        <v>0</v>
      </c>
      <c r="M189" s="139" t="s">
        <v>556</v>
      </c>
      <c r="N189" s="139" t="s">
        <v>557</v>
      </c>
      <c r="O189" s="140">
        <v>1183752.8700000001</v>
      </c>
      <c r="P189" s="141">
        <v>480643.74</v>
      </c>
      <c r="Q189" s="142">
        <v>703109.13</v>
      </c>
      <c r="R189" s="140">
        <v>0</v>
      </c>
    </row>
    <row r="190" spans="1:18">
      <c r="A190" s="139" t="s">
        <v>554</v>
      </c>
      <c r="B190" s="139" t="s">
        <v>555</v>
      </c>
      <c r="C190" s="139" t="s">
        <v>156</v>
      </c>
      <c r="D190" s="139" t="s">
        <v>162</v>
      </c>
      <c r="E190" s="139" t="s">
        <v>100</v>
      </c>
      <c r="F190" s="115">
        <v>118569.48</v>
      </c>
      <c r="G190" s="140">
        <v>121118.23</v>
      </c>
      <c r="H190" s="126"/>
      <c r="I190" s="143"/>
      <c r="J190" s="32">
        <f t="shared" si="1"/>
        <v>118569.48</v>
      </c>
      <c r="M190" s="139" t="s">
        <v>558</v>
      </c>
      <c r="N190" s="139" t="s">
        <v>559</v>
      </c>
      <c r="O190" s="140">
        <v>114666.7</v>
      </c>
      <c r="P190" s="141">
        <v>27636.91</v>
      </c>
      <c r="Q190" s="142">
        <v>87029.79</v>
      </c>
      <c r="R190" s="140">
        <v>0</v>
      </c>
    </row>
    <row r="191" spans="1:18">
      <c r="A191" s="139" t="s">
        <v>556</v>
      </c>
      <c r="B191" s="139" t="s">
        <v>557</v>
      </c>
      <c r="C191" s="139" t="s">
        <v>156</v>
      </c>
      <c r="D191" s="139" t="s">
        <v>162</v>
      </c>
      <c r="E191" s="139" t="s">
        <v>100</v>
      </c>
      <c r="F191" s="115">
        <v>1183752.8700000001</v>
      </c>
      <c r="G191" s="140">
        <v>1453598.69</v>
      </c>
      <c r="H191" s="126"/>
      <c r="I191" s="143"/>
      <c r="J191" s="32">
        <f t="shared" si="1"/>
        <v>1183752.8700000001</v>
      </c>
      <c r="M191" s="139" t="s">
        <v>560</v>
      </c>
      <c r="N191" s="139" t="s">
        <v>561</v>
      </c>
      <c r="O191" s="140">
        <v>219129.64</v>
      </c>
      <c r="P191" s="141">
        <v>179289.86</v>
      </c>
      <c r="Q191" s="142">
        <v>39839.78</v>
      </c>
      <c r="R191" s="140">
        <v>0</v>
      </c>
    </row>
    <row r="192" spans="1:18">
      <c r="A192" s="139" t="s">
        <v>558</v>
      </c>
      <c r="B192" s="139" t="s">
        <v>559</v>
      </c>
      <c r="C192" s="139" t="s">
        <v>156</v>
      </c>
      <c r="D192" s="139" t="s">
        <v>162</v>
      </c>
      <c r="E192" s="139" t="s">
        <v>100</v>
      </c>
      <c r="F192" s="115">
        <v>114666.7</v>
      </c>
      <c r="G192" s="140">
        <v>116787.95</v>
      </c>
      <c r="H192" s="126"/>
      <c r="I192" s="143"/>
      <c r="J192" s="32">
        <f t="shared" si="1"/>
        <v>114666.7</v>
      </c>
      <c r="M192" s="139" t="s">
        <v>562</v>
      </c>
      <c r="N192" s="139" t="s">
        <v>563</v>
      </c>
      <c r="O192" s="140">
        <v>184378.72</v>
      </c>
      <c r="P192" s="140">
        <v>0</v>
      </c>
      <c r="Q192" s="142">
        <v>184378.72</v>
      </c>
      <c r="R192" s="140">
        <v>0</v>
      </c>
    </row>
    <row r="193" spans="1:18">
      <c r="A193" s="139" t="s">
        <v>560</v>
      </c>
      <c r="B193" s="139" t="s">
        <v>561</v>
      </c>
      <c r="C193" s="139" t="s">
        <v>156</v>
      </c>
      <c r="D193" s="139" t="s">
        <v>162</v>
      </c>
      <c r="E193" s="139" t="s">
        <v>100</v>
      </c>
      <c r="F193" s="115">
        <v>219129.64</v>
      </c>
      <c r="G193" s="140">
        <v>241333.77</v>
      </c>
      <c r="H193" s="126"/>
      <c r="I193" s="143"/>
      <c r="J193" s="32">
        <f t="shared" ref="J193:J256" si="2">+F193</f>
        <v>219129.64</v>
      </c>
      <c r="M193" s="139" t="s">
        <v>564</v>
      </c>
      <c r="N193" s="139" t="s">
        <v>565</v>
      </c>
      <c r="O193" s="140">
        <v>56000</v>
      </c>
      <c r="P193" s="140">
        <v>0</v>
      </c>
      <c r="Q193" s="142">
        <v>56000</v>
      </c>
      <c r="R193" s="140">
        <v>0</v>
      </c>
    </row>
    <row r="194" spans="1:18">
      <c r="A194" s="139" t="s">
        <v>562</v>
      </c>
      <c r="B194" s="139" t="s">
        <v>563</v>
      </c>
      <c r="C194" s="139" t="s">
        <v>156</v>
      </c>
      <c r="D194" s="139" t="s">
        <v>162</v>
      </c>
      <c r="E194" s="139" t="s">
        <v>100</v>
      </c>
      <c r="F194" s="115">
        <v>184378.72</v>
      </c>
      <c r="G194" s="140">
        <v>197826.37</v>
      </c>
      <c r="H194" s="126"/>
      <c r="I194" s="143"/>
      <c r="J194" s="32">
        <f t="shared" si="2"/>
        <v>184378.72</v>
      </c>
      <c r="M194" s="139" t="s">
        <v>566</v>
      </c>
      <c r="N194" s="139" t="s">
        <v>567</v>
      </c>
      <c r="O194" s="140">
        <v>1876497.41</v>
      </c>
      <c r="P194" s="140">
        <v>763372.67</v>
      </c>
      <c r="Q194" s="140">
        <v>1113124.74</v>
      </c>
      <c r="R194" s="140">
        <v>0</v>
      </c>
    </row>
    <row r="195" spans="1:18">
      <c r="A195" s="139" t="s">
        <v>564</v>
      </c>
      <c r="B195" s="139" t="s">
        <v>565</v>
      </c>
      <c r="C195" s="139" t="s">
        <v>156</v>
      </c>
      <c r="D195" s="139" t="s">
        <v>162</v>
      </c>
      <c r="E195" s="139" t="s">
        <v>100</v>
      </c>
      <c r="F195" s="115">
        <v>56000</v>
      </c>
      <c r="G195" s="140">
        <v>56000</v>
      </c>
      <c r="H195" s="126"/>
      <c r="I195" s="143"/>
      <c r="J195" s="32">
        <f t="shared" si="2"/>
        <v>56000</v>
      </c>
      <c r="M195" s="139" t="s">
        <v>569</v>
      </c>
      <c r="N195" s="139" t="s">
        <v>570</v>
      </c>
      <c r="O195" s="140">
        <v>0</v>
      </c>
      <c r="P195" s="140">
        <v>0</v>
      </c>
      <c r="Q195" s="140">
        <v>0</v>
      </c>
      <c r="R195" s="140">
        <v>0</v>
      </c>
    </row>
    <row r="196" spans="1:18">
      <c r="A196" s="139" t="s">
        <v>566</v>
      </c>
      <c r="B196" s="139" t="s">
        <v>567</v>
      </c>
      <c r="C196" s="139" t="s">
        <v>156</v>
      </c>
      <c r="D196" s="139" t="s">
        <v>169</v>
      </c>
      <c r="E196" s="139" t="s">
        <v>568</v>
      </c>
      <c r="F196" s="115">
        <v>1876497.41</v>
      </c>
      <c r="G196" s="140">
        <v>2186665.0099999998</v>
      </c>
      <c r="H196" s="126"/>
      <c r="I196" s="143"/>
      <c r="J196" s="32"/>
      <c r="M196" s="139" t="s">
        <v>571</v>
      </c>
      <c r="N196" s="139" t="s">
        <v>572</v>
      </c>
      <c r="O196" s="140">
        <v>16428.560000000001</v>
      </c>
      <c r="P196" s="140">
        <v>0</v>
      </c>
      <c r="Q196" s="142">
        <v>16428.560000000001</v>
      </c>
      <c r="R196" s="140">
        <v>0</v>
      </c>
    </row>
    <row r="197" spans="1:18">
      <c r="A197" s="139" t="s">
        <v>569</v>
      </c>
      <c r="B197" s="139" t="s">
        <v>570</v>
      </c>
      <c r="C197" s="139" t="s">
        <v>156</v>
      </c>
      <c r="D197" s="139" t="s">
        <v>157</v>
      </c>
      <c r="E197" s="139" t="s">
        <v>100</v>
      </c>
      <c r="F197" s="115">
        <v>0</v>
      </c>
      <c r="G197" s="140">
        <v>0</v>
      </c>
      <c r="H197" s="126"/>
      <c r="I197" s="143"/>
      <c r="J197" s="32"/>
      <c r="M197" s="139" t="s">
        <v>573</v>
      </c>
      <c r="N197" s="139" t="s">
        <v>574</v>
      </c>
      <c r="O197" s="140">
        <v>12000</v>
      </c>
      <c r="P197" s="141">
        <v>12000</v>
      </c>
      <c r="Q197" s="140">
        <v>0</v>
      </c>
      <c r="R197" s="140">
        <v>0</v>
      </c>
    </row>
    <row r="198" spans="1:18">
      <c r="A198" s="139" t="s">
        <v>571</v>
      </c>
      <c r="B198" s="139" t="s">
        <v>572</v>
      </c>
      <c r="C198" s="139" t="s">
        <v>156</v>
      </c>
      <c r="D198" s="139" t="s">
        <v>162</v>
      </c>
      <c r="E198" s="139" t="s">
        <v>100</v>
      </c>
      <c r="F198" s="115">
        <v>16428.560000000001</v>
      </c>
      <c r="G198" s="140">
        <v>16428.560000000001</v>
      </c>
      <c r="H198" s="126"/>
      <c r="I198" s="143"/>
      <c r="J198" s="32">
        <f t="shared" si="2"/>
        <v>16428.560000000001</v>
      </c>
      <c r="M198" s="139" t="s">
        <v>575</v>
      </c>
      <c r="N198" s="139" t="s">
        <v>576</v>
      </c>
      <c r="O198" s="140">
        <v>28428.560000000001</v>
      </c>
      <c r="P198" s="140">
        <v>12000</v>
      </c>
      <c r="Q198" s="140">
        <v>16428.560000000001</v>
      </c>
      <c r="R198" s="140">
        <v>0</v>
      </c>
    </row>
    <row r="199" spans="1:18">
      <c r="A199" s="139" t="s">
        <v>573</v>
      </c>
      <c r="B199" s="139" t="s">
        <v>574</v>
      </c>
      <c r="C199" s="139" t="s">
        <v>156</v>
      </c>
      <c r="D199" s="139" t="s">
        <v>162</v>
      </c>
      <c r="E199" s="139" t="s">
        <v>100</v>
      </c>
      <c r="F199" s="115">
        <v>12000</v>
      </c>
      <c r="G199" s="140">
        <v>15000</v>
      </c>
      <c r="H199" s="126"/>
      <c r="I199" s="143"/>
      <c r="J199" s="32">
        <f t="shared" si="2"/>
        <v>12000</v>
      </c>
      <c r="M199" s="139" t="s">
        <v>578</v>
      </c>
      <c r="N199" s="139" t="s">
        <v>579</v>
      </c>
      <c r="O199" s="140">
        <v>0</v>
      </c>
      <c r="P199" s="140">
        <v>0</v>
      </c>
      <c r="Q199" s="140">
        <v>0</v>
      </c>
      <c r="R199" s="140">
        <v>0</v>
      </c>
    </row>
    <row r="200" spans="1:18">
      <c r="A200" s="139" t="s">
        <v>575</v>
      </c>
      <c r="B200" s="139" t="s">
        <v>576</v>
      </c>
      <c r="C200" s="139" t="s">
        <v>156</v>
      </c>
      <c r="D200" s="139" t="s">
        <v>169</v>
      </c>
      <c r="E200" s="139" t="s">
        <v>577</v>
      </c>
      <c r="F200" s="115">
        <v>28428.560000000001</v>
      </c>
      <c r="G200" s="140">
        <v>31428.560000000001</v>
      </c>
      <c r="H200" s="126"/>
      <c r="I200" s="143"/>
      <c r="J200" s="32"/>
      <c r="M200" s="139" t="s">
        <v>580</v>
      </c>
      <c r="N200" s="139" t="s">
        <v>581</v>
      </c>
      <c r="O200" s="140">
        <v>81131.17</v>
      </c>
      <c r="P200" s="141">
        <v>81131.17</v>
      </c>
      <c r="Q200" s="140">
        <v>0</v>
      </c>
      <c r="R200" s="140">
        <v>0</v>
      </c>
    </row>
    <row r="201" spans="1:18">
      <c r="A201" s="139" t="s">
        <v>578</v>
      </c>
      <c r="B201" s="139" t="s">
        <v>579</v>
      </c>
      <c r="C201" s="139" t="s">
        <v>156</v>
      </c>
      <c r="D201" s="139" t="s">
        <v>157</v>
      </c>
      <c r="E201" s="139" t="s">
        <v>100</v>
      </c>
      <c r="F201" s="115">
        <v>0</v>
      </c>
      <c r="G201" s="140">
        <v>0</v>
      </c>
      <c r="H201" s="126"/>
      <c r="I201" s="143"/>
      <c r="J201" s="32"/>
      <c r="M201" s="139" t="s">
        <v>582</v>
      </c>
      <c r="N201" s="139" t="s">
        <v>583</v>
      </c>
      <c r="O201" s="140">
        <v>235109.97</v>
      </c>
      <c r="P201" s="141">
        <v>235109.97</v>
      </c>
      <c r="Q201" s="140">
        <v>0</v>
      </c>
      <c r="R201" s="140">
        <v>0</v>
      </c>
    </row>
    <row r="202" spans="1:18">
      <c r="A202" s="139" t="s">
        <v>580</v>
      </c>
      <c r="B202" s="139" t="s">
        <v>581</v>
      </c>
      <c r="C202" s="139" t="s">
        <v>156</v>
      </c>
      <c r="D202" s="139" t="s">
        <v>162</v>
      </c>
      <c r="E202" s="139" t="s">
        <v>100</v>
      </c>
      <c r="F202" s="115">
        <v>81131.17</v>
      </c>
      <c r="G202" s="140">
        <v>101171.17</v>
      </c>
      <c r="H202" s="126"/>
      <c r="I202" s="143"/>
      <c r="J202" s="32">
        <f t="shared" si="2"/>
        <v>81131.17</v>
      </c>
      <c r="M202" s="139" t="s">
        <v>584</v>
      </c>
      <c r="N202" s="139" t="s">
        <v>585</v>
      </c>
      <c r="O202" s="140">
        <v>-69600</v>
      </c>
      <c r="P202" s="141">
        <v>-69600</v>
      </c>
      <c r="Q202" s="140">
        <v>0</v>
      </c>
      <c r="R202" s="140">
        <v>0</v>
      </c>
    </row>
    <row r="203" spans="1:18">
      <c r="A203" s="139" t="s">
        <v>582</v>
      </c>
      <c r="B203" s="139" t="s">
        <v>583</v>
      </c>
      <c r="C203" s="139" t="s">
        <v>156</v>
      </c>
      <c r="D203" s="139" t="s">
        <v>162</v>
      </c>
      <c r="E203" s="139" t="s">
        <v>100</v>
      </c>
      <c r="F203" s="115">
        <v>235109.97</v>
      </c>
      <c r="G203" s="140">
        <v>255388.14</v>
      </c>
      <c r="H203" s="126"/>
      <c r="I203" s="143"/>
      <c r="J203" s="32">
        <f t="shared" si="2"/>
        <v>235109.97</v>
      </c>
      <c r="M203" s="139" t="s">
        <v>586</v>
      </c>
      <c r="N203" s="139" t="s">
        <v>587</v>
      </c>
      <c r="O203" s="140">
        <v>596300.18000000005</v>
      </c>
      <c r="P203" s="140">
        <v>0</v>
      </c>
      <c r="Q203" s="142">
        <v>596300.18000000005</v>
      </c>
      <c r="R203" s="140">
        <v>0</v>
      </c>
    </row>
    <row r="204" spans="1:18">
      <c r="A204" s="139" t="s">
        <v>584</v>
      </c>
      <c r="B204" s="139" t="s">
        <v>585</v>
      </c>
      <c r="C204" s="139" t="s">
        <v>156</v>
      </c>
      <c r="D204" s="139" t="s">
        <v>162</v>
      </c>
      <c r="E204" s="139" t="s">
        <v>100</v>
      </c>
      <c r="F204" s="115">
        <v>-69600</v>
      </c>
      <c r="G204" s="140">
        <v>-75862.5</v>
      </c>
      <c r="H204" s="126"/>
      <c r="I204" s="143"/>
      <c r="J204" s="32">
        <f t="shared" si="2"/>
        <v>-69600</v>
      </c>
      <c r="M204" s="139" t="s">
        <v>588</v>
      </c>
      <c r="N204" s="139" t="s">
        <v>589</v>
      </c>
      <c r="O204" s="140">
        <v>60191.26</v>
      </c>
      <c r="P204" s="140">
        <v>0</v>
      </c>
      <c r="Q204" s="142">
        <v>60191.26</v>
      </c>
      <c r="R204" s="140">
        <v>0</v>
      </c>
    </row>
    <row r="205" spans="1:18">
      <c r="A205" s="139" t="s">
        <v>586</v>
      </c>
      <c r="B205" s="139" t="s">
        <v>587</v>
      </c>
      <c r="C205" s="139" t="s">
        <v>156</v>
      </c>
      <c r="D205" s="139" t="s">
        <v>162</v>
      </c>
      <c r="E205" s="139" t="s">
        <v>100</v>
      </c>
      <c r="F205" s="115">
        <v>596300.18000000005</v>
      </c>
      <c r="G205" s="140">
        <v>598882.4</v>
      </c>
      <c r="H205" s="126"/>
      <c r="I205" s="143"/>
      <c r="J205" s="32">
        <f t="shared" si="2"/>
        <v>596300.18000000005</v>
      </c>
      <c r="M205" s="139" t="s">
        <v>590</v>
      </c>
      <c r="N205" s="139" t="s">
        <v>591</v>
      </c>
      <c r="O205" s="140">
        <v>21930.13</v>
      </c>
      <c r="P205" s="141">
        <v>21930.13</v>
      </c>
      <c r="Q205" s="140">
        <v>0</v>
      </c>
      <c r="R205" s="140">
        <v>0</v>
      </c>
    </row>
    <row r="206" spans="1:18">
      <c r="A206" s="139" t="s">
        <v>588</v>
      </c>
      <c r="B206" s="139" t="s">
        <v>589</v>
      </c>
      <c r="C206" s="139" t="s">
        <v>156</v>
      </c>
      <c r="D206" s="139" t="s">
        <v>162</v>
      </c>
      <c r="E206" s="139" t="s">
        <v>100</v>
      </c>
      <c r="F206" s="115">
        <v>60191.26</v>
      </c>
      <c r="G206" s="140">
        <v>60191.26</v>
      </c>
      <c r="H206" s="126"/>
      <c r="I206" s="143"/>
      <c r="J206" s="32">
        <f t="shared" si="2"/>
        <v>60191.26</v>
      </c>
      <c r="M206" s="139" t="s">
        <v>592</v>
      </c>
      <c r="N206" s="139" t="s">
        <v>593</v>
      </c>
      <c r="O206" s="140">
        <v>44859.3</v>
      </c>
      <c r="P206" s="141">
        <v>44859.3</v>
      </c>
      <c r="Q206" s="140">
        <v>0</v>
      </c>
      <c r="R206" s="140">
        <v>0</v>
      </c>
    </row>
    <row r="207" spans="1:18">
      <c r="A207" s="139" t="s">
        <v>590</v>
      </c>
      <c r="B207" s="139" t="s">
        <v>591</v>
      </c>
      <c r="C207" s="139" t="s">
        <v>156</v>
      </c>
      <c r="D207" s="139" t="s">
        <v>162</v>
      </c>
      <c r="E207" s="139" t="s">
        <v>100</v>
      </c>
      <c r="F207" s="115">
        <v>21930.13</v>
      </c>
      <c r="G207" s="140">
        <v>37264.36</v>
      </c>
      <c r="H207" s="126"/>
      <c r="I207" s="143"/>
      <c r="J207" s="32">
        <f t="shared" si="2"/>
        <v>21930.13</v>
      </c>
      <c r="M207" s="139" t="s">
        <v>594</v>
      </c>
      <c r="N207" s="139" t="s">
        <v>595</v>
      </c>
      <c r="O207" s="140">
        <v>969922.01</v>
      </c>
      <c r="P207" s="140">
        <v>313430.57</v>
      </c>
      <c r="Q207" s="140">
        <v>656491.43999999994</v>
      </c>
      <c r="R207" s="140">
        <v>0</v>
      </c>
    </row>
    <row r="208" spans="1:18">
      <c r="A208" s="139" t="s">
        <v>592</v>
      </c>
      <c r="B208" s="139" t="s">
        <v>593</v>
      </c>
      <c r="C208" s="139" t="s">
        <v>156</v>
      </c>
      <c r="D208" s="139" t="s">
        <v>162</v>
      </c>
      <c r="E208" s="139" t="s">
        <v>100</v>
      </c>
      <c r="F208" s="115">
        <v>44859.3</v>
      </c>
      <c r="G208" s="140">
        <v>47034.8</v>
      </c>
      <c r="H208" s="126"/>
      <c r="I208" s="143"/>
      <c r="J208" s="32">
        <f t="shared" si="2"/>
        <v>44859.3</v>
      </c>
      <c r="M208" s="139" t="s">
        <v>597</v>
      </c>
      <c r="N208" s="139" t="s">
        <v>595</v>
      </c>
      <c r="O208" s="140">
        <v>0</v>
      </c>
      <c r="P208" s="140">
        <v>0</v>
      </c>
      <c r="Q208" s="140">
        <v>0</v>
      </c>
      <c r="R208" s="140">
        <v>0</v>
      </c>
    </row>
    <row r="209" spans="1:18">
      <c r="A209" s="139" t="s">
        <v>594</v>
      </c>
      <c r="B209" s="139" t="s">
        <v>595</v>
      </c>
      <c r="C209" s="139" t="s">
        <v>156</v>
      </c>
      <c r="D209" s="139" t="s">
        <v>169</v>
      </c>
      <c r="E209" s="139" t="s">
        <v>596</v>
      </c>
      <c r="F209" s="115">
        <v>969922.01</v>
      </c>
      <c r="G209" s="140">
        <v>1024069.63</v>
      </c>
      <c r="H209" s="126"/>
      <c r="I209" s="143"/>
      <c r="J209" s="32"/>
      <c r="M209" s="139" t="s">
        <v>599</v>
      </c>
      <c r="N209" s="139" t="s">
        <v>600</v>
      </c>
      <c r="O209" s="140">
        <v>0</v>
      </c>
      <c r="P209" s="140">
        <v>0</v>
      </c>
      <c r="Q209" s="140">
        <v>0</v>
      </c>
      <c r="R209" s="140">
        <v>0</v>
      </c>
    </row>
    <row r="210" spans="1:18">
      <c r="A210" s="139" t="s">
        <v>597</v>
      </c>
      <c r="B210" s="139" t="s">
        <v>595</v>
      </c>
      <c r="C210" s="139" t="s">
        <v>156</v>
      </c>
      <c r="D210" s="139" t="s">
        <v>598</v>
      </c>
      <c r="E210" s="139" t="s">
        <v>100</v>
      </c>
      <c r="F210" s="115">
        <v>0</v>
      </c>
      <c r="G210" s="140">
        <v>0</v>
      </c>
      <c r="H210" s="126"/>
      <c r="I210" s="143"/>
      <c r="J210" s="32"/>
      <c r="M210" s="139" t="s">
        <v>601</v>
      </c>
      <c r="N210" s="139" t="s">
        <v>602</v>
      </c>
      <c r="O210" s="140">
        <v>0</v>
      </c>
      <c r="P210" s="140">
        <v>0</v>
      </c>
      <c r="Q210" s="123">
        <v>0</v>
      </c>
      <c r="R210" s="140">
        <v>0</v>
      </c>
    </row>
    <row r="211" spans="1:18">
      <c r="A211" s="139" t="s">
        <v>599</v>
      </c>
      <c r="B211" s="139" t="s">
        <v>600</v>
      </c>
      <c r="C211" s="139" t="s">
        <v>156</v>
      </c>
      <c r="D211" s="139" t="s">
        <v>157</v>
      </c>
      <c r="E211" s="139" t="s">
        <v>100</v>
      </c>
      <c r="F211" s="115">
        <v>0</v>
      </c>
      <c r="G211" s="140">
        <v>0</v>
      </c>
      <c r="H211" s="126"/>
      <c r="I211" s="143"/>
      <c r="J211" s="32"/>
      <c r="M211" s="139" t="s">
        <v>603</v>
      </c>
      <c r="N211" s="139" t="s">
        <v>604</v>
      </c>
      <c r="O211" s="140">
        <v>95892.12</v>
      </c>
      <c r="P211" s="140">
        <v>0</v>
      </c>
      <c r="Q211" s="142">
        <v>95892.12</v>
      </c>
      <c r="R211" s="140">
        <v>0</v>
      </c>
    </row>
    <row r="212" spans="1:18">
      <c r="A212" s="139" t="s">
        <v>601</v>
      </c>
      <c r="B212" s="139" t="s">
        <v>602</v>
      </c>
      <c r="C212" s="139" t="s">
        <v>156</v>
      </c>
      <c r="D212" s="139" t="s">
        <v>162</v>
      </c>
      <c r="E212" s="139" t="s">
        <v>100</v>
      </c>
      <c r="F212" s="115">
        <v>0</v>
      </c>
      <c r="G212" s="140">
        <v>0</v>
      </c>
      <c r="H212" s="126"/>
      <c r="I212" s="143"/>
      <c r="J212" s="32">
        <f t="shared" si="2"/>
        <v>0</v>
      </c>
      <c r="M212" s="139" t="s">
        <v>605</v>
      </c>
      <c r="N212" s="139" t="s">
        <v>606</v>
      </c>
      <c r="O212" s="140">
        <v>14433.83</v>
      </c>
      <c r="P212" s="140">
        <v>0</v>
      </c>
      <c r="Q212" s="142">
        <v>14433.83</v>
      </c>
      <c r="R212" s="140">
        <v>0</v>
      </c>
    </row>
    <row r="213" spans="1:18">
      <c r="A213" s="139" t="s">
        <v>603</v>
      </c>
      <c r="B213" s="139" t="s">
        <v>604</v>
      </c>
      <c r="C213" s="139" t="s">
        <v>156</v>
      </c>
      <c r="D213" s="139" t="s">
        <v>162</v>
      </c>
      <c r="E213" s="139" t="s">
        <v>100</v>
      </c>
      <c r="F213" s="115">
        <v>95892.12</v>
      </c>
      <c r="G213" s="140">
        <v>99524.12</v>
      </c>
      <c r="H213" s="126"/>
      <c r="I213" s="143"/>
      <c r="J213" s="32">
        <f t="shared" si="2"/>
        <v>95892.12</v>
      </c>
      <c r="M213" s="139" t="s">
        <v>607</v>
      </c>
      <c r="N213" s="139" t="s">
        <v>608</v>
      </c>
      <c r="O213" s="140">
        <v>8151</v>
      </c>
      <c r="P213" s="140">
        <v>0</v>
      </c>
      <c r="Q213" s="142">
        <v>8151</v>
      </c>
      <c r="R213" s="140">
        <v>0</v>
      </c>
    </row>
    <row r="214" spans="1:18">
      <c r="A214" s="139" t="s">
        <v>605</v>
      </c>
      <c r="B214" s="139" t="s">
        <v>606</v>
      </c>
      <c r="C214" s="139" t="s">
        <v>156</v>
      </c>
      <c r="D214" s="139" t="s">
        <v>162</v>
      </c>
      <c r="E214" s="139" t="s">
        <v>100</v>
      </c>
      <c r="F214" s="115">
        <v>14433.83</v>
      </c>
      <c r="G214" s="140">
        <v>14433.83</v>
      </c>
      <c r="H214" s="126"/>
      <c r="I214" s="143"/>
      <c r="J214" s="32">
        <f t="shared" si="2"/>
        <v>14433.83</v>
      </c>
      <c r="M214" s="139" t="s">
        <v>609</v>
      </c>
      <c r="N214" s="139" t="s">
        <v>610</v>
      </c>
      <c r="O214" s="140">
        <v>105</v>
      </c>
      <c r="P214" s="140">
        <v>0</v>
      </c>
      <c r="Q214" s="142">
        <v>105</v>
      </c>
      <c r="R214" s="140">
        <v>0</v>
      </c>
    </row>
    <row r="215" spans="1:18">
      <c r="A215" s="139" t="s">
        <v>607</v>
      </c>
      <c r="B215" s="139" t="s">
        <v>608</v>
      </c>
      <c r="C215" s="139" t="s">
        <v>156</v>
      </c>
      <c r="D215" s="139" t="s">
        <v>162</v>
      </c>
      <c r="E215" s="139" t="s">
        <v>100</v>
      </c>
      <c r="F215" s="115">
        <v>8151</v>
      </c>
      <c r="G215" s="140">
        <v>8151</v>
      </c>
      <c r="H215" s="126"/>
      <c r="I215" s="143"/>
      <c r="J215" s="32">
        <f t="shared" si="2"/>
        <v>8151</v>
      </c>
      <c r="M215" s="139" t="s">
        <v>611</v>
      </c>
      <c r="N215" s="139" t="s">
        <v>612</v>
      </c>
      <c r="O215" s="140">
        <v>727.25</v>
      </c>
      <c r="P215" s="140">
        <v>0</v>
      </c>
      <c r="Q215" s="142">
        <v>727.25</v>
      </c>
      <c r="R215" s="140">
        <v>0</v>
      </c>
    </row>
    <row r="216" spans="1:18">
      <c r="A216" s="139" t="s">
        <v>609</v>
      </c>
      <c r="B216" s="139" t="s">
        <v>610</v>
      </c>
      <c r="C216" s="139" t="s">
        <v>156</v>
      </c>
      <c r="D216" s="139" t="s">
        <v>162</v>
      </c>
      <c r="E216" s="139" t="s">
        <v>100</v>
      </c>
      <c r="F216" s="115">
        <v>105</v>
      </c>
      <c r="G216" s="140">
        <v>105</v>
      </c>
      <c r="H216" s="126"/>
      <c r="I216" s="143"/>
      <c r="J216" s="32">
        <f t="shared" si="2"/>
        <v>105</v>
      </c>
      <c r="M216" s="139" t="s">
        <v>613</v>
      </c>
      <c r="N216" s="139" t="s">
        <v>614</v>
      </c>
      <c r="O216" s="140">
        <v>0</v>
      </c>
      <c r="P216" s="140">
        <v>0</v>
      </c>
      <c r="Q216" s="142">
        <v>0</v>
      </c>
      <c r="R216" s="140">
        <v>0</v>
      </c>
    </row>
    <row r="217" spans="1:18">
      <c r="A217" s="139" t="s">
        <v>611</v>
      </c>
      <c r="B217" s="139" t="s">
        <v>612</v>
      </c>
      <c r="C217" s="139" t="s">
        <v>156</v>
      </c>
      <c r="D217" s="139" t="s">
        <v>162</v>
      </c>
      <c r="E217" s="139" t="s">
        <v>100</v>
      </c>
      <c r="F217" s="115">
        <v>727.25</v>
      </c>
      <c r="G217" s="140">
        <v>1454.51</v>
      </c>
      <c r="H217" s="126"/>
      <c r="I217" s="143"/>
      <c r="J217" s="32">
        <f t="shared" si="2"/>
        <v>727.25</v>
      </c>
      <c r="M217" s="139" t="s">
        <v>615</v>
      </c>
      <c r="N217" s="139" t="s">
        <v>616</v>
      </c>
      <c r="O217" s="140">
        <v>-16476.34</v>
      </c>
      <c r="P217" s="140">
        <v>0</v>
      </c>
      <c r="Q217" s="142">
        <v>-16476.34</v>
      </c>
      <c r="R217" s="140">
        <v>0</v>
      </c>
    </row>
    <row r="218" spans="1:18">
      <c r="A218" s="139" t="s">
        <v>613</v>
      </c>
      <c r="B218" s="139" t="s">
        <v>614</v>
      </c>
      <c r="C218" s="139" t="s">
        <v>156</v>
      </c>
      <c r="D218" s="139" t="s">
        <v>162</v>
      </c>
      <c r="E218" s="139" t="s">
        <v>100</v>
      </c>
      <c r="F218" s="115">
        <v>0</v>
      </c>
      <c r="G218" s="140">
        <v>0</v>
      </c>
      <c r="H218" s="126"/>
      <c r="I218" s="143"/>
      <c r="J218" s="32">
        <f t="shared" si="2"/>
        <v>0</v>
      </c>
      <c r="M218" s="139" t="s">
        <v>617</v>
      </c>
      <c r="N218" s="139" t="s">
        <v>618</v>
      </c>
      <c r="O218" s="140">
        <v>102832.86</v>
      </c>
      <c r="P218" s="140">
        <v>0</v>
      </c>
      <c r="Q218" s="140">
        <v>102832.86</v>
      </c>
      <c r="R218" s="140">
        <v>0</v>
      </c>
    </row>
    <row r="219" spans="1:18">
      <c r="A219" s="139" t="s">
        <v>615</v>
      </c>
      <c r="B219" s="139" t="s">
        <v>616</v>
      </c>
      <c r="C219" s="139" t="s">
        <v>156</v>
      </c>
      <c r="D219" s="139" t="s">
        <v>162</v>
      </c>
      <c r="E219" s="139" t="s">
        <v>100</v>
      </c>
      <c r="F219" s="115">
        <v>-16476.34</v>
      </c>
      <c r="G219" s="140">
        <v>-16254.08</v>
      </c>
      <c r="H219" s="126"/>
      <c r="I219" s="143"/>
      <c r="J219" s="32">
        <f t="shared" si="2"/>
        <v>-16476.34</v>
      </c>
      <c r="M219" s="139" t="s">
        <v>620</v>
      </c>
      <c r="N219" s="139" t="s">
        <v>621</v>
      </c>
      <c r="O219" s="140">
        <v>2162695.37</v>
      </c>
      <c r="P219" s="140">
        <v>1476624.46</v>
      </c>
      <c r="Q219" s="140">
        <v>797270.87</v>
      </c>
      <c r="R219" s="140">
        <v>-111199.96</v>
      </c>
    </row>
    <row r="220" spans="1:18">
      <c r="A220" s="139" t="s">
        <v>617</v>
      </c>
      <c r="B220" s="139" t="s">
        <v>618</v>
      </c>
      <c r="C220" s="139" t="s">
        <v>156</v>
      </c>
      <c r="D220" s="139" t="s">
        <v>169</v>
      </c>
      <c r="E220" s="139" t="s">
        <v>619</v>
      </c>
      <c r="F220" s="115">
        <v>102832.86</v>
      </c>
      <c r="G220" s="140">
        <v>107414.38</v>
      </c>
      <c r="H220" s="126"/>
      <c r="I220" s="143"/>
      <c r="J220" s="32"/>
      <c r="M220" s="139" t="s">
        <v>623</v>
      </c>
      <c r="N220" s="139" t="s">
        <v>624</v>
      </c>
      <c r="O220" s="140">
        <v>2162695.37</v>
      </c>
      <c r="P220" s="140">
        <v>1476624.46</v>
      </c>
      <c r="Q220" s="140">
        <v>797270.87</v>
      </c>
      <c r="R220" s="140">
        <v>-111199.96</v>
      </c>
    </row>
    <row r="221" spans="1:18">
      <c r="A221" s="139" t="s">
        <v>620</v>
      </c>
      <c r="B221" s="139" t="s">
        <v>621</v>
      </c>
      <c r="C221" s="139" t="s">
        <v>156</v>
      </c>
      <c r="D221" s="139" t="s">
        <v>169</v>
      </c>
      <c r="E221" s="139" t="s">
        <v>622</v>
      </c>
      <c r="F221" s="115">
        <v>2162695.87</v>
      </c>
      <c r="G221" s="140">
        <v>2768124.41</v>
      </c>
      <c r="H221" s="126"/>
      <c r="I221" s="143"/>
      <c r="J221" s="32"/>
    </row>
    <row r="222" spans="1:18">
      <c r="A222" s="139" t="s">
        <v>623</v>
      </c>
      <c r="B222" s="139" t="s">
        <v>624</v>
      </c>
      <c r="C222" s="139" t="s">
        <v>156</v>
      </c>
      <c r="D222" s="139" t="s">
        <v>169</v>
      </c>
      <c r="E222" s="139" t="s">
        <v>625</v>
      </c>
      <c r="F222" s="115">
        <v>2162695.87</v>
      </c>
      <c r="G222" s="140">
        <v>2768124.41</v>
      </c>
      <c r="H222" s="126"/>
      <c r="I222" s="143"/>
      <c r="J222" s="32"/>
    </row>
    <row r="223" spans="1:18">
      <c r="A223" s="139" t="s">
        <v>626</v>
      </c>
      <c r="B223" s="139" t="s">
        <v>627</v>
      </c>
      <c r="C223" s="139" t="s">
        <v>156</v>
      </c>
      <c r="D223" s="139" t="s">
        <v>157</v>
      </c>
      <c r="E223" s="139" t="s">
        <v>100</v>
      </c>
      <c r="F223" s="115">
        <v>0</v>
      </c>
      <c r="G223" s="140">
        <v>0</v>
      </c>
      <c r="H223" s="126"/>
      <c r="I223" s="143"/>
      <c r="J223" s="32">
        <f t="shared" si="2"/>
        <v>0</v>
      </c>
    </row>
    <row r="224" spans="1:18">
      <c r="A224" s="139" t="s">
        <v>628</v>
      </c>
      <c r="B224" s="139" t="s">
        <v>629</v>
      </c>
      <c r="C224" s="139" t="s">
        <v>156</v>
      </c>
      <c r="D224" s="139" t="s">
        <v>162</v>
      </c>
      <c r="E224" s="139" t="s">
        <v>100</v>
      </c>
      <c r="F224" s="115">
        <v>10050.94</v>
      </c>
      <c r="G224" s="140">
        <v>14346.39</v>
      </c>
      <c r="H224" s="126"/>
      <c r="I224" s="143"/>
      <c r="J224" s="32">
        <f t="shared" si="2"/>
        <v>10050.94</v>
      </c>
    </row>
    <row r="225" spans="1:10">
      <c r="A225" s="139" t="s">
        <v>630</v>
      </c>
      <c r="B225" s="139" t="s">
        <v>631</v>
      </c>
      <c r="C225" s="139" t="s">
        <v>156</v>
      </c>
      <c r="D225" s="139" t="s">
        <v>169</v>
      </c>
      <c r="E225" s="139" t="s">
        <v>632</v>
      </c>
      <c r="F225" s="115">
        <v>10050.94</v>
      </c>
      <c r="G225" s="140">
        <v>14346.39</v>
      </c>
      <c r="H225" s="126"/>
      <c r="I225" s="143"/>
      <c r="J225" s="32"/>
    </row>
    <row r="226" spans="1:10">
      <c r="A226" s="139" t="s">
        <v>633</v>
      </c>
      <c r="B226" s="139" t="s">
        <v>634</v>
      </c>
      <c r="C226" s="139" t="s">
        <v>156</v>
      </c>
      <c r="D226" s="139" t="s">
        <v>169</v>
      </c>
      <c r="E226" s="139" t="s">
        <v>635</v>
      </c>
      <c r="F226" s="115">
        <v>2172746.81</v>
      </c>
      <c r="G226" s="140">
        <v>2782470.8</v>
      </c>
      <c r="H226" s="126"/>
      <c r="I226" s="143"/>
      <c r="J226" s="32"/>
    </row>
    <row r="227" spans="1:10">
      <c r="A227" s="139" t="s">
        <v>636</v>
      </c>
      <c r="B227" s="139" t="s">
        <v>637</v>
      </c>
      <c r="C227" s="139" t="s">
        <v>156</v>
      </c>
      <c r="D227" s="139" t="s">
        <v>157</v>
      </c>
      <c r="E227" s="139" t="s">
        <v>100</v>
      </c>
      <c r="F227" s="115">
        <v>0</v>
      </c>
      <c r="G227" s="140">
        <v>0</v>
      </c>
      <c r="H227" s="126"/>
      <c r="I227" s="143"/>
      <c r="J227" s="32">
        <f t="shared" si="2"/>
        <v>0</v>
      </c>
    </row>
    <row r="228" spans="1:10">
      <c r="A228" s="139" t="s">
        <v>638</v>
      </c>
      <c r="B228" s="139" t="s">
        <v>639</v>
      </c>
      <c r="C228" s="139" t="s">
        <v>156</v>
      </c>
      <c r="D228" s="139" t="s">
        <v>157</v>
      </c>
      <c r="E228" s="139" t="s">
        <v>100</v>
      </c>
      <c r="F228" s="115">
        <v>0</v>
      </c>
      <c r="G228" s="140">
        <v>0</v>
      </c>
      <c r="H228" s="126"/>
      <c r="I228" s="143"/>
      <c r="J228" s="32">
        <f t="shared" si="2"/>
        <v>0</v>
      </c>
    </row>
    <row r="229" spans="1:10">
      <c r="A229" s="139" t="s">
        <v>640</v>
      </c>
      <c r="B229" s="139" t="s">
        <v>641</v>
      </c>
      <c r="C229" s="139" t="s">
        <v>156</v>
      </c>
      <c r="D229" s="139" t="s">
        <v>162</v>
      </c>
      <c r="E229" s="139" t="s">
        <v>100</v>
      </c>
      <c r="F229" s="115">
        <v>-2591265.4300000002</v>
      </c>
      <c r="G229" s="140">
        <v>-2591265.4300000002</v>
      </c>
      <c r="H229" s="126"/>
      <c r="I229" s="143"/>
      <c r="J229" s="32">
        <f t="shared" si="2"/>
        <v>-2591265.4300000002</v>
      </c>
    </row>
    <row r="230" spans="1:10">
      <c r="A230" s="139" t="s">
        <v>642</v>
      </c>
      <c r="B230" s="139" t="s">
        <v>643</v>
      </c>
      <c r="C230" s="139" t="s">
        <v>156</v>
      </c>
      <c r="D230" s="139" t="s">
        <v>162</v>
      </c>
      <c r="E230" s="139" t="s">
        <v>100</v>
      </c>
      <c r="F230" s="115">
        <v>-44826.64</v>
      </c>
      <c r="G230" s="140">
        <v>-46596.639999999999</v>
      </c>
      <c r="H230" s="126"/>
      <c r="I230" s="143"/>
      <c r="J230" s="32">
        <f t="shared" si="2"/>
        <v>-44826.64</v>
      </c>
    </row>
    <row r="231" spans="1:10">
      <c r="A231" s="139" t="s">
        <v>644</v>
      </c>
      <c r="B231" s="139" t="s">
        <v>645</v>
      </c>
      <c r="C231" s="139" t="s">
        <v>156</v>
      </c>
      <c r="D231" s="139" t="s">
        <v>162</v>
      </c>
      <c r="E231" s="139" t="s">
        <v>100</v>
      </c>
      <c r="F231" s="115">
        <v>0</v>
      </c>
      <c r="G231" s="140">
        <v>0</v>
      </c>
      <c r="H231" s="126"/>
      <c r="I231" s="143"/>
      <c r="J231" s="32">
        <f t="shared" si="2"/>
        <v>0</v>
      </c>
    </row>
    <row r="232" spans="1:10">
      <c r="A232" s="139" t="s">
        <v>646</v>
      </c>
      <c r="B232" s="139" t="s">
        <v>202</v>
      </c>
      <c r="C232" s="139" t="s">
        <v>156</v>
      </c>
      <c r="D232" s="139" t="s">
        <v>162</v>
      </c>
      <c r="E232" s="139" t="s">
        <v>100</v>
      </c>
      <c r="F232" s="115">
        <v>-34317.01</v>
      </c>
      <c r="G232" s="140">
        <v>-34317.01</v>
      </c>
      <c r="H232" s="126"/>
      <c r="I232" s="143"/>
      <c r="J232" s="32">
        <f t="shared" si="2"/>
        <v>-34317.01</v>
      </c>
    </row>
    <row r="233" spans="1:10">
      <c r="A233" s="139" t="s">
        <v>647</v>
      </c>
      <c r="B233" s="139" t="s">
        <v>648</v>
      </c>
      <c r="C233" s="139" t="s">
        <v>156</v>
      </c>
      <c r="D233" s="139" t="s">
        <v>162</v>
      </c>
      <c r="E233" s="139" t="s">
        <v>100</v>
      </c>
      <c r="F233" s="115">
        <v>86271.9</v>
      </c>
      <c r="G233" s="140">
        <v>86271.9</v>
      </c>
      <c r="H233" s="126"/>
      <c r="I233" s="143"/>
      <c r="J233" s="32">
        <f t="shared" si="2"/>
        <v>86271.9</v>
      </c>
    </row>
    <row r="234" spans="1:10">
      <c r="A234" s="139" t="s">
        <v>649</v>
      </c>
      <c r="B234" s="139" t="s">
        <v>650</v>
      </c>
      <c r="C234" s="139" t="s">
        <v>156</v>
      </c>
      <c r="D234" s="139" t="s">
        <v>162</v>
      </c>
      <c r="E234" s="139" t="s">
        <v>100</v>
      </c>
      <c r="F234" s="115">
        <v>209042.07</v>
      </c>
      <c r="G234" s="140">
        <v>209493.51</v>
      </c>
      <c r="H234" s="126"/>
      <c r="I234" s="143"/>
      <c r="J234" s="32">
        <f t="shared" si="2"/>
        <v>209042.07</v>
      </c>
    </row>
    <row r="235" spans="1:10">
      <c r="A235" s="139" t="s">
        <v>651</v>
      </c>
      <c r="B235" s="139" t="s">
        <v>652</v>
      </c>
      <c r="C235" s="139" t="s">
        <v>156</v>
      </c>
      <c r="D235" s="139" t="s">
        <v>162</v>
      </c>
      <c r="E235" s="139" t="s">
        <v>100</v>
      </c>
      <c r="F235" s="115">
        <v>335583.12</v>
      </c>
      <c r="G235" s="140">
        <v>350653.82</v>
      </c>
      <c r="H235" s="126">
        <v>3000</v>
      </c>
      <c r="I235" s="143"/>
      <c r="J235" s="32">
        <f>+F235+H235</f>
        <v>338583.12</v>
      </c>
    </row>
    <row r="236" spans="1:10">
      <c r="A236" s="139" t="s">
        <v>653</v>
      </c>
      <c r="B236" s="139" t="s">
        <v>654</v>
      </c>
      <c r="C236" s="139" t="s">
        <v>156</v>
      </c>
      <c r="D236" s="139" t="s">
        <v>162</v>
      </c>
      <c r="E236" s="139" t="s">
        <v>100</v>
      </c>
      <c r="F236" s="115">
        <v>1865</v>
      </c>
      <c r="G236" s="140">
        <v>1865</v>
      </c>
      <c r="H236" s="126"/>
      <c r="I236" s="143"/>
      <c r="J236" s="32">
        <f t="shared" si="2"/>
        <v>1865</v>
      </c>
    </row>
    <row r="237" spans="1:10">
      <c r="A237" s="139" t="s">
        <v>655</v>
      </c>
      <c r="B237" s="139" t="s">
        <v>656</v>
      </c>
      <c r="C237" s="139" t="s">
        <v>156</v>
      </c>
      <c r="D237" s="139" t="s">
        <v>162</v>
      </c>
      <c r="E237" s="139" t="s">
        <v>100</v>
      </c>
      <c r="F237" s="115">
        <v>16493.21</v>
      </c>
      <c r="G237" s="140">
        <v>16853.21</v>
      </c>
      <c r="H237" s="126"/>
      <c r="I237" s="143"/>
      <c r="J237" s="32">
        <f t="shared" si="2"/>
        <v>16493.21</v>
      </c>
    </row>
    <row r="238" spans="1:10">
      <c r="A238" s="139" t="s">
        <v>657</v>
      </c>
      <c r="B238" s="139" t="s">
        <v>658</v>
      </c>
      <c r="C238" s="139" t="s">
        <v>156</v>
      </c>
      <c r="D238" s="139" t="s">
        <v>162</v>
      </c>
      <c r="E238" s="139" t="s">
        <v>100</v>
      </c>
      <c r="F238" s="115">
        <v>596</v>
      </c>
      <c r="G238" s="140">
        <v>1100</v>
      </c>
      <c r="H238" s="126"/>
      <c r="I238" s="143"/>
      <c r="J238" s="32">
        <f t="shared" si="2"/>
        <v>596</v>
      </c>
    </row>
    <row r="239" spans="1:10">
      <c r="A239" s="139" t="s">
        <v>659</v>
      </c>
      <c r="B239" s="139" t="s">
        <v>660</v>
      </c>
      <c r="C239" s="139" t="s">
        <v>156</v>
      </c>
      <c r="D239" s="139" t="s">
        <v>162</v>
      </c>
      <c r="E239" s="139" t="s">
        <v>100</v>
      </c>
      <c r="F239" s="115">
        <v>976434.82</v>
      </c>
      <c r="G239" s="140">
        <v>976434.82</v>
      </c>
      <c r="H239" s="126"/>
      <c r="I239" s="143"/>
      <c r="J239" s="32">
        <f t="shared" si="2"/>
        <v>976434.82</v>
      </c>
    </row>
    <row r="240" spans="1:10">
      <c r="A240" s="139" t="s">
        <v>661</v>
      </c>
      <c r="B240" s="139" t="s">
        <v>662</v>
      </c>
      <c r="C240" s="139" t="s">
        <v>156</v>
      </c>
      <c r="D240" s="139" t="s">
        <v>162</v>
      </c>
      <c r="E240" s="139" t="s">
        <v>100</v>
      </c>
      <c r="F240" s="115">
        <v>183.75</v>
      </c>
      <c r="G240" s="140">
        <v>183.75</v>
      </c>
      <c r="H240" s="126"/>
      <c r="I240" s="143"/>
      <c r="J240" s="32">
        <f t="shared" si="2"/>
        <v>183.75</v>
      </c>
    </row>
    <row r="241" spans="1:10">
      <c r="A241" s="139" t="s">
        <v>663</v>
      </c>
      <c r="B241" s="139" t="s">
        <v>664</v>
      </c>
      <c r="C241" s="139" t="s">
        <v>156</v>
      </c>
      <c r="D241" s="139" t="s">
        <v>162</v>
      </c>
      <c r="E241" s="139" t="s">
        <v>100</v>
      </c>
      <c r="F241" s="115">
        <v>858878.83</v>
      </c>
      <c r="G241" s="140">
        <v>859270.87</v>
      </c>
      <c r="H241" s="126"/>
      <c r="I241" s="143"/>
      <c r="J241" s="32">
        <f t="shared" si="2"/>
        <v>858878.83</v>
      </c>
    </row>
    <row r="242" spans="1:10">
      <c r="A242" s="139" t="s">
        <v>665</v>
      </c>
      <c r="B242" s="139" t="s">
        <v>666</v>
      </c>
      <c r="C242" s="139" t="s">
        <v>156</v>
      </c>
      <c r="D242" s="139" t="s">
        <v>162</v>
      </c>
      <c r="E242" s="139" t="s">
        <v>100</v>
      </c>
      <c r="F242" s="115">
        <v>145579.56</v>
      </c>
      <c r="G242" s="140">
        <v>165837.01</v>
      </c>
      <c r="H242" s="126"/>
      <c r="I242" s="143"/>
      <c r="J242" s="32">
        <f t="shared" si="2"/>
        <v>145579.56</v>
      </c>
    </row>
    <row r="243" spans="1:10">
      <c r="A243" s="139" t="s">
        <v>667</v>
      </c>
      <c r="B243" s="139" t="s">
        <v>220</v>
      </c>
      <c r="C243" s="139" t="s">
        <v>156</v>
      </c>
      <c r="D243" s="139" t="s">
        <v>162</v>
      </c>
      <c r="E243" s="139" t="s">
        <v>100</v>
      </c>
      <c r="F243" s="115">
        <v>66717.25</v>
      </c>
      <c r="G243" s="140">
        <v>66717.25</v>
      </c>
      <c r="H243" s="126"/>
      <c r="I243" s="143"/>
      <c r="J243" s="32">
        <f t="shared" si="2"/>
        <v>66717.25</v>
      </c>
    </row>
    <row r="244" spans="1:10">
      <c r="A244" s="139" t="s">
        <v>668</v>
      </c>
      <c r="B244" s="139" t="s">
        <v>669</v>
      </c>
      <c r="C244" s="139" t="s">
        <v>156</v>
      </c>
      <c r="D244" s="139" t="s">
        <v>162</v>
      </c>
      <c r="E244" s="139" t="s">
        <v>100</v>
      </c>
      <c r="F244" s="115">
        <v>128918.75</v>
      </c>
      <c r="G244" s="140">
        <v>128918.75</v>
      </c>
      <c r="H244" s="126"/>
      <c r="I244" s="143"/>
      <c r="J244" s="32">
        <f t="shared" si="2"/>
        <v>128918.75</v>
      </c>
    </row>
    <row r="245" spans="1:10">
      <c r="A245" s="139" t="s">
        <v>670</v>
      </c>
      <c r="B245" s="139" t="s">
        <v>671</v>
      </c>
      <c r="C245" s="139" t="s">
        <v>156</v>
      </c>
      <c r="D245" s="139" t="s">
        <v>162</v>
      </c>
      <c r="E245" s="139" t="s">
        <v>100</v>
      </c>
      <c r="F245" s="115">
        <v>0</v>
      </c>
      <c r="G245" s="140">
        <v>0</v>
      </c>
      <c r="H245" s="126"/>
      <c r="I245" s="143"/>
      <c r="J245" s="32">
        <f t="shared" si="2"/>
        <v>0</v>
      </c>
    </row>
    <row r="246" spans="1:10">
      <c r="A246" s="139" t="s">
        <v>672</v>
      </c>
      <c r="B246" s="139" t="s">
        <v>673</v>
      </c>
      <c r="C246" s="139" t="s">
        <v>156</v>
      </c>
      <c r="D246" s="139" t="s">
        <v>169</v>
      </c>
      <c r="E246" s="139" t="s">
        <v>674</v>
      </c>
      <c r="F246" s="115">
        <v>156155.18</v>
      </c>
      <c r="G246" s="140">
        <v>191420.81</v>
      </c>
      <c r="H246" s="126"/>
      <c r="I246" s="143"/>
      <c r="J246" s="32"/>
    </row>
    <row r="247" spans="1:10">
      <c r="A247" s="139" t="s">
        <v>675</v>
      </c>
      <c r="B247" s="139" t="s">
        <v>676</v>
      </c>
      <c r="C247" s="139" t="s">
        <v>156</v>
      </c>
      <c r="D247" s="139" t="s">
        <v>157</v>
      </c>
      <c r="E247" s="139" t="s">
        <v>100</v>
      </c>
      <c r="F247" s="115">
        <v>0</v>
      </c>
      <c r="G247" s="140">
        <v>0</v>
      </c>
      <c r="H247" s="126"/>
      <c r="I247" s="143"/>
      <c r="J247" s="32"/>
    </row>
    <row r="248" spans="1:10">
      <c r="A248" s="139" t="s">
        <v>677</v>
      </c>
      <c r="B248" s="139" t="s">
        <v>678</v>
      </c>
      <c r="C248" s="139" t="s">
        <v>156</v>
      </c>
      <c r="D248" s="139" t="s">
        <v>162</v>
      </c>
      <c r="E248" s="139" t="s">
        <v>100</v>
      </c>
      <c r="F248" s="115">
        <v>0</v>
      </c>
      <c r="G248" s="140">
        <v>0</v>
      </c>
      <c r="H248" s="126"/>
      <c r="I248" s="143"/>
      <c r="J248" s="32">
        <f t="shared" si="2"/>
        <v>0</v>
      </c>
    </row>
    <row r="249" spans="1:10">
      <c r="A249" s="139" t="s">
        <v>679</v>
      </c>
      <c r="B249" s="139" t="s">
        <v>680</v>
      </c>
      <c r="C249" s="139" t="s">
        <v>156</v>
      </c>
      <c r="D249" s="139" t="s">
        <v>162</v>
      </c>
      <c r="E249" s="139" t="s">
        <v>100</v>
      </c>
      <c r="F249" s="115">
        <v>0</v>
      </c>
      <c r="G249" s="140">
        <v>0</v>
      </c>
      <c r="H249" s="126"/>
      <c r="I249" s="143"/>
      <c r="J249" s="32">
        <f t="shared" si="2"/>
        <v>0</v>
      </c>
    </row>
    <row r="250" spans="1:10">
      <c r="A250" s="139" t="s">
        <v>681</v>
      </c>
      <c r="B250" s="139" t="s">
        <v>682</v>
      </c>
      <c r="C250" s="139" t="s">
        <v>156</v>
      </c>
      <c r="D250" s="139" t="s">
        <v>169</v>
      </c>
      <c r="E250" s="139" t="s">
        <v>683</v>
      </c>
      <c r="F250" s="115">
        <v>0</v>
      </c>
      <c r="G250" s="140">
        <v>0</v>
      </c>
      <c r="H250" s="126"/>
      <c r="I250" s="143"/>
      <c r="J250" s="32">
        <f t="shared" si="2"/>
        <v>0</v>
      </c>
    </row>
    <row r="251" spans="1:10">
      <c r="A251" s="139" t="s">
        <v>684</v>
      </c>
      <c r="B251" s="139" t="s">
        <v>685</v>
      </c>
      <c r="C251" s="139" t="s">
        <v>156</v>
      </c>
      <c r="D251" s="139" t="s">
        <v>157</v>
      </c>
      <c r="E251" s="139" t="s">
        <v>100</v>
      </c>
      <c r="F251" s="115">
        <v>0</v>
      </c>
      <c r="G251" s="140">
        <v>0</v>
      </c>
      <c r="H251" s="126"/>
      <c r="I251" s="143"/>
      <c r="J251" s="32">
        <f t="shared" si="2"/>
        <v>0</v>
      </c>
    </row>
    <row r="252" spans="1:10">
      <c r="A252" s="139" t="s">
        <v>686</v>
      </c>
      <c r="B252" s="139" t="s">
        <v>687</v>
      </c>
      <c r="C252" s="139" t="s">
        <v>156</v>
      </c>
      <c r="D252" s="139" t="s">
        <v>162</v>
      </c>
      <c r="E252" s="139" t="s">
        <v>100</v>
      </c>
      <c r="F252" s="115">
        <v>200386.84</v>
      </c>
      <c r="G252" s="140">
        <v>211192.38</v>
      </c>
      <c r="H252" s="126"/>
      <c r="I252" s="143"/>
      <c r="J252" s="32">
        <f t="shared" si="2"/>
        <v>200386.84</v>
      </c>
    </row>
    <row r="253" spans="1:10">
      <c r="A253" s="139" t="s">
        <v>688</v>
      </c>
      <c r="B253" s="139" t="s">
        <v>689</v>
      </c>
      <c r="C253" s="139" t="s">
        <v>156</v>
      </c>
      <c r="D253" s="139" t="s">
        <v>162</v>
      </c>
      <c r="E253" s="139" t="s">
        <v>100</v>
      </c>
      <c r="F253" s="115">
        <v>0</v>
      </c>
      <c r="G253" s="140">
        <v>0</v>
      </c>
      <c r="H253" s="126"/>
      <c r="I253" s="143"/>
      <c r="J253" s="32">
        <f t="shared" si="2"/>
        <v>0</v>
      </c>
    </row>
    <row r="254" spans="1:10">
      <c r="A254" s="139" t="s">
        <v>690</v>
      </c>
      <c r="B254" s="139" t="s">
        <v>691</v>
      </c>
      <c r="C254" s="139" t="s">
        <v>156</v>
      </c>
      <c r="D254" s="139" t="s">
        <v>162</v>
      </c>
      <c r="E254" s="139" t="s">
        <v>100</v>
      </c>
      <c r="F254" s="115">
        <v>19736.060000000001</v>
      </c>
      <c r="G254" s="140">
        <v>19736.060000000001</v>
      </c>
      <c r="H254" s="126"/>
      <c r="I254" s="143"/>
      <c r="J254" s="32">
        <f t="shared" si="2"/>
        <v>19736.060000000001</v>
      </c>
    </row>
    <row r="255" spans="1:10">
      <c r="A255" s="139" t="s">
        <v>692</v>
      </c>
      <c r="B255" s="139" t="s">
        <v>693</v>
      </c>
      <c r="C255" s="139" t="s">
        <v>156</v>
      </c>
      <c r="D255" s="139" t="s">
        <v>162</v>
      </c>
      <c r="E255" s="139" t="s">
        <v>100</v>
      </c>
      <c r="F255" s="115">
        <v>24904.54</v>
      </c>
      <c r="G255" s="140">
        <v>24904.54</v>
      </c>
      <c r="H255" s="126"/>
      <c r="I255" s="143"/>
      <c r="J255" s="32">
        <f t="shared" si="2"/>
        <v>24904.54</v>
      </c>
    </row>
    <row r="256" spans="1:10">
      <c r="A256" s="139" t="s">
        <v>694</v>
      </c>
      <c r="B256" s="139" t="s">
        <v>695</v>
      </c>
      <c r="C256" s="139" t="s">
        <v>156</v>
      </c>
      <c r="D256" s="139" t="s">
        <v>162</v>
      </c>
      <c r="E256" s="139" t="s">
        <v>100</v>
      </c>
      <c r="F256" s="115">
        <v>1061.4000000000001</v>
      </c>
      <c r="G256" s="140">
        <v>1061.4000000000001</v>
      </c>
      <c r="H256" s="126"/>
      <c r="I256" s="143"/>
      <c r="J256" s="32">
        <f t="shared" si="2"/>
        <v>1061.4000000000001</v>
      </c>
    </row>
    <row r="257" spans="1:10">
      <c r="A257" s="139" t="s">
        <v>696</v>
      </c>
      <c r="B257" s="139" t="s">
        <v>697</v>
      </c>
      <c r="C257" s="139" t="s">
        <v>156</v>
      </c>
      <c r="D257" s="139" t="s">
        <v>169</v>
      </c>
      <c r="E257" s="139" t="s">
        <v>698</v>
      </c>
      <c r="F257" s="115">
        <v>246088.84</v>
      </c>
      <c r="G257" s="140">
        <v>256894.38</v>
      </c>
      <c r="H257" s="126"/>
      <c r="I257" s="143"/>
      <c r="J257" s="32"/>
    </row>
    <row r="258" spans="1:10">
      <c r="A258" s="139" t="s">
        <v>699</v>
      </c>
      <c r="B258" s="139" t="s">
        <v>700</v>
      </c>
      <c r="C258" s="139" t="s">
        <v>156</v>
      </c>
      <c r="D258" s="139" t="s">
        <v>157</v>
      </c>
      <c r="E258" s="139" t="s">
        <v>100</v>
      </c>
      <c r="F258" s="115">
        <v>0</v>
      </c>
      <c r="G258" s="140">
        <v>0</v>
      </c>
      <c r="H258" s="126"/>
      <c r="I258" s="143"/>
      <c r="J258" s="32"/>
    </row>
    <row r="259" spans="1:10">
      <c r="A259" s="139" t="s">
        <v>701</v>
      </c>
      <c r="B259" s="139" t="s">
        <v>702</v>
      </c>
      <c r="C259" s="139" t="s">
        <v>156</v>
      </c>
      <c r="D259" s="139" t="s">
        <v>162</v>
      </c>
      <c r="E259" s="139" t="s">
        <v>100</v>
      </c>
      <c r="F259" s="115">
        <v>-30433.95</v>
      </c>
      <c r="G259" s="140">
        <v>-30433.95</v>
      </c>
      <c r="H259" s="126"/>
      <c r="I259" s="143"/>
      <c r="J259" s="32">
        <f t="shared" ref="J259:J320" si="3">+F259</f>
        <v>-30433.95</v>
      </c>
    </row>
    <row r="260" spans="1:10">
      <c r="A260" s="139" t="s">
        <v>703</v>
      </c>
      <c r="B260" s="139" t="s">
        <v>704</v>
      </c>
      <c r="C260" s="139" t="s">
        <v>156</v>
      </c>
      <c r="D260" s="139" t="s">
        <v>162</v>
      </c>
      <c r="E260" s="139" t="s">
        <v>100</v>
      </c>
      <c r="F260" s="115">
        <v>0</v>
      </c>
      <c r="G260" s="140">
        <v>0</v>
      </c>
      <c r="H260" s="126"/>
      <c r="I260" s="143"/>
      <c r="J260" s="32">
        <f t="shared" si="3"/>
        <v>0</v>
      </c>
    </row>
    <row r="261" spans="1:10">
      <c r="A261" s="139" t="s">
        <v>705</v>
      </c>
      <c r="B261" s="139" t="s">
        <v>664</v>
      </c>
      <c r="C261" s="139" t="s">
        <v>156</v>
      </c>
      <c r="D261" s="139" t="s">
        <v>162</v>
      </c>
      <c r="E261" s="139" t="s">
        <v>100</v>
      </c>
      <c r="F261" s="115">
        <v>402.4</v>
      </c>
      <c r="G261" s="140">
        <v>402.4</v>
      </c>
      <c r="H261" s="126"/>
      <c r="I261" s="143"/>
      <c r="J261" s="32">
        <f t="shared" si="3"/>
        <v>402.4</v>
      </c>
    </row>
    <row r="262" spans="1:10">
      <c r="A262" s="139" t="s">
        <v>706</v>
      </c>
      <c r="B262" s="139" t="s">
        <v>707</v>
      </c>
      <c r="C262" s="139" t="s">
        <v>156</v>
      </c>
      <c r="D262" s="139" t="s">
        <v>162</v>
      </c>
      <c r="E262" s="139" t="s">
        <v>100</v>
      </c>
      <c r="F262" s="115">
        <v>0</v>
      </c>
      <c r="G262" s="140">
        <v>0</v>
      </c>
      <c r="H262" s="126"/>
      <c r="I262" s="143"/>
      <c r="J262" s="32">
        <f t="shared" si="3"/>
        <v>0</v>
      </c>
    </row>
    <row r="263" spans="1:10">
      <c r="A263" s="139" t="s">
        <v>708</v>
      </c>
      <c r="B263" s="139" t="s">
        <v>709</v>
      </c>
      <c r="C263" s="139" t="s">
        <v>156</v>
      </c>
      <c r="D263" s="139" t="s">
        <v>162</v>
      </c>
      <c r="E263" s="139" t="s">
        <v>100</v>
      </c>
      <c r="F263" s="115">
        <v>9130.23</v>
      </c>
      <c r="G263" s="140">
        <v>9130.23</v>
      </c>
      <c r="H263" s="126"/>
      <c r="I263" s="143"/>
      <c r="J263" s="32">
        <f t="shared" si="3"/>
        <v>9130.23</v>
      </c>
    </row>
    <row r="264" spans="1:10">
      <c r="A264" s="139" t="s">
        <v>710</v>
      </c>
      <c r="B264" s="139" t="s">
        <v>711</v>
      </c>
      <c r="C264" s="139" t="s">
        <v>156</v>
      </c>
      <c r="D264" s="139" t="s">
        <v>162</v>
      </c>
      <c r="E264" s="139" t="s">
        <v>100</v>
      </c>
      <c r="F264" s="115">
        <v>0</v>
      </c>
      <c r="G264" s="140">
        <v>0</v>
      </c>
      <c r="H264" s="126"/>
      <c r="I264" s="143"/>
      <c r="J264" s="32">
        <f t="shared" si="3"/>
        <v>0</v>
      </c>
    </row>
    <row r="265" spans="1:10">
      <c r="A265" s="139" t="s">
        <v>712</v>
      </c>
      <c r="B265" s="139" t="s">
        <v>713</v>
      </c>
      <c r="C265" s="139" t="s">
        <v>156</v>
      </c>
      <c r="D265" s="139" t="s">
        <v>169</v>
      </c>
      <c r="E265" s="139" t="s">
        <v>714</v>
      </c>
      <c r="F265" s="115">
        <v>-20901.32</v>
      </c>
      <c r="G265" s="140">
        <v>-20901.32</v>
      </c>
      <c r="H265" s="126"/>
      <c r="I265" s="143"/>
      <c r="J265" s="32"/>
    </row>
    <row r="266" spans="1:10">
      <c r="A266" s="139" t="s">
        <v>715</v>
      </c>
      <c r="B266" s="139" t="s">
        <v>716</v>
      </c>
      <c r="C266" s="139" t="s">
        <v>156</v>
      </c>
      <c r="D266" s="139" t="s">
        <v>169</v>
      </c>
      <c r="E266" s="139" t="s">
        <v>717</v>
      </c>
      <c r="F266" s="115">
        <v>381342.7</v>
      </c>
      <c r="G266" s="140">
        <v>427413.87</v>
      </c>
      <c r="H266" s="126"/>
      <c r="I266" s="143"/>
      <c r="J266" s="32"/>
    </row>
    <row r="267" spans="1:10">
      <c r="A267" s="139" t="s">
        <v>718</v>
      </c>
      <c r="B267" s="139" t="s">
        <v>719</v>
      </c>
      <c r="C267" s="139" t="s">
        <v>156</v>
      </c>
      <c r="D267" s="139" t="s">
        <v>157</v>
      </c>
      <c r="E267" s="139" t="s">
        <v>100</v>
      </c>
      <c r="F267" s="115">
        <v>0</v>
      </c>
      <c r="G267" s="140">
        <v>0</v>
      </c>
      <c r="H267" s="126"/>
      <c r="I267" s="143"/>
      <c r="J267" s="32">
        <f t="shared" si="3"/>
        <v>0</v>
      </c>
    </row>
    <row r="268" spans="1:10">
      <c r="A268" s="139" t="s">
        <v>720</v>
      </c>
      <c r="B268" s="139" t="s">
        <v>721</v>
      </c>
      <c r="C268" s="139" t="s">
        <v>156</v>
      </c>
      <c r="D268" s="139" t="s">
        <v>157</v>
      </c>
      <c r="E268" s="139" t="s">
        <v>100</v>
      </c>
      <c r="F268" s="115">
        <v>0</v>
      </c>
      <c r="G268" s="140">
        <v>0</v>
      </c>
      <c r="H268" s="126"/>
      <c r="I268" s="143"/>
      <c r="J268" s="32">
        <f t="shared" si="3"/>
        <v>0</v>
      </c>
    </row>
    <row r="269" spans="1:10">
      <c r="A269" s="139" t="s">
        <v>722</v>
      </c>
      <c r="B269" s="139" t="s">
        <v>723</v>
      </c>
      <c r="C269" s="139" t="s">
        <v>156</v>
      </c>
      <c r="D269" s="139" t="s">
        <v>162</v>
      </c>
      <c r="E269" s="139" t="s">
        <v>100</v>
      </c>
      <c r="F269" s="115">
        <v>-89351.83</v>
      </c>
      <c r="G269" s="140">
        <v>-88442.28</v>
      </c>
      <c r="H269" s="126">
        <v>-8444.74</v>
      </c>
      <c r="I269" s="143"/>
      <c r="J269" s="122">
        <f>+F269+H269</f>
        <v>-97796.57</v>
      </c>
    </row>
    <row r="270" spans="1:10">
      <c r="A270" s="139" t="s">
        <v>724</v>
      </c>
      <c r="B270" s="139" t="s">
        <v>725</v>
      </c>
      <c r="C270" s="139" t="s">
        <v>156</v>
      </c>
      <c r="D270" s="139" t="s">
        <v>162</v>
      </c>
      <c r="E270" s="139" t="s">
        <v>100</v>
      </c>
      <c r="F270" s="115">
        <v>0</v>
      </c>
      <c r="G270" s="140">
        <v>0</v>
      </c>
      <c r="H270" s="126"/>
      <c r="I270" s="143"/>
      <c r="J270" s="32">
        <f t="shared" si="3"/>
        <v>0</v>
      </c>
    </row>
    <row r="271" spans="1:10">
      <c r="A271" s="139" t="s">
        <v>726</v>
      </c>
      <c r="B271" s="139" t="s">
        <v>727</v>
      </c>
      <c r="C271" s="139" t="s">
        <v>156</v>
      </c>
      <c r="D271" s="139" t="s">
        <v>162</v>
      </c>
      <c r="E271" s="139" t="s">
        <v>100</v>
      </c>
      <c r="F271" s="115">
        <v>-88820</v>
      </c>
      <c r="G271" s="140">
        <v>-93140</v>
      </c>
      <c r="H271" s="126"/>
      <c r="I271" s="143"/>
      <c r="J271" s="122">
        <f t="shared" si="3"/>
        <v>-88820</v>
      </c>
    </row>
    <row r="272" spans="1:10">
      <c r="A272" s="139" t="s">
        <v>728</v>
      </c>
      <c r="B272" s="139" t="s">
        <v>729</v>
      </c>
      <c r="C272" s="139" t="s">
        <v>156</v>
      </c>
      <c r="D272" s="139" t="s">
        <v>162</v>
      </c>
      <c r="E272" s="139" t="s">
        <v>100</v>
      </c>
      <c r="F272" s="115">
        <v>201435</v>
      </c>
      <c r="G272" s="140">
        <v>201435</v>
      </c>
      <c r="H272" s="126"/>
      <c r="I272" s="143"/>
      <c r="J272" s="122">
        <f t="shared" si="3"/>
        <v>201435</v>
      </c>
    </row>
    <row r="273" spans="1:10">
      <c r="A273" s="139" t="s">
        <v>730</v>
      </c>
      <c r="B273" s="139" t="s">
        <v>731</v>
      </c>
      <c r="C273" s="139" t="s">
        <v>156</v>
      </c>
      <c r="D273" s="139" t="s">
        <v>162</v>
      </c>
      <c r="E273" s="139" t="s">
        <v>100</v>
      </c>
      <c r="F273" s="115">
        <v>0</v>
      </c>
      <c r="G273" s="140">
        <v>0</v>
      </c>
      <c r="H273" s="126"/>
      <c r="I273" s="143"/>
      <c r="J273" s="32">
        <f t="shared" si="3"/>
        <v>0</v>
      </c>
    </row>
    <row r="274" spans="1:10">
      <c r="A274" s="139" t="s">
        <v>732</v>
      </c>
      <c r="B274" s="139" t="s">
        <v>733</v>
      </c>
      <c r="C274" s="139" t="s">
        <v>156</v>
      </c>
      <c r="D274" s="139" t="s">
        <v>162</v>
      </c>
      <c r="E274" s="139" t="s">
        <v>100</v>
      </c>
      <c r="F274" s="115">
        <v>0</v>
      </c>
      <c r="G274" s="140">
        <v>0</v>
      </c>
      <c r="H274" s="126"/>
      <c r="I274" s="143"/>
      <c r="J274" s="32">
        <f t="shared" si="3"/>
        <v>0</v>
      </c>
    </row>
    <row r="275" spans="1:10">
      <c r="A275" s="139" t="s">
        <v>734</v>
      </c>
      <c r="B275" s="139" t="s">
        <v>735</v>
      </c>
      <c r="C275" s="139" t="s">
        <v>156</v>
      </c>
      <c r="D275" s="139" t="s">
        <v>162</v>
      </c>
      <c r="E275" s="139" t="s">
        <v>100</v>
      </c>
      <c r="F275" s="115">
        <v>0</v>
      </c>
      <c r="G275" s="140">
        <v>0</v>
      </c>
      <c r="H275" s="126"/>
      <c r="I275" s="143"/>
      <c r="J275" s="32">
        <f t="shared" si="3"/>
        <v>0</v>
      </c>
    </row>
    <row r="276" spans="1:10">
      <c r="A276" s="139" t="s">
        <v>736</v>
      </c>
      <c r="B276" s="139" t="s">
        <v>737</v>
      </c>
      <c r="C276" s="139" t="s">
        <v>156</v>
      </c>
      <c r="D276" s="139" t="s">
        <v>162</v>
      </c>
      <c r="E276" s="139" t="s">
        <v>100</v>
      </c>
      <c r="F276" s="115">
        <v>5047.7</v>
      </c>
      <c r="G276" s="140">
        <v>6976.2</v>
      </c>
      <c r="H276" s="126"/>
      <c r="I276" s="143"/>
      <c r="J276" s="122">
        <f t="shared" si="3"/>
        <v>5047.7</v>
      </c>
    </row>
    <row r="277" spans="1:10">
      <c r="A277" s="139" t="s">
        <v>738</v>
      </c>
      <c r="B277" s="139" t="s">
        <v>739</v>
      </c>
      <c r="C277" s="139" t="s">
        <v>156</v>
      </c>
      <c r="D277" s="139" t="s">
        <v>162</v>
      </c>
      <c r="E277" s="139" t="s">
        <v>100</v>
      </c>
      <c r="F277" s="115">
        <v>17881.2</v>
      </c>
      <c r="G277" s="140">
        <v>17881.2</v>
      </c>
      <c r="H277" s="126"/>
      <c r="I277" s="143"/>
      <c r="J277" s="122">
        <f t="shared" si="3"/>
        <v>17881.2</v>
      </c>
    </row>
    <row r="278" spans="1:10">
      <c r="A278" s="139" t="s">
        <v>740</v>
      </c>
      <c r="B278" s="139" t="s">
        <v>741</v>
      </c>
      <c r="C278" s="139" t="s">
        <v>156</v>
      </c>
      <c r="D278" s="139" t="s">
        <v>162</v>
      </c>
      <c r="E278" s="139" t="s">
        <v>100</v>
      </c>
      <c r="F278" s="115">
        <v>9072.2800000000007</v>
      </c>
      <c r="G278" s="140">
        <v>9771.09</v>
      </c>
      <c r="H278" s="126"/>
      <c r="I278" s="143"/>
      <c r="J278" s="122">
        <f t="shared" si="3"/>
        <v>9072.2800000000007</v>
      </c>
    </row>
    <row r="279" spans="1:10">
      <c r="A279" s="139" t="s">
        <v>742</v>
      </c>
      <c r="B279" s="139" t="s">
        <v>743</v>
      </c>
      <c r="C279" s="139" t="s">
        <v>156</v>
      </c>
      <c r="D279" s="139" t="s">
        <v>162</v>
      </c>
      <c r="E279" s="139" t="s">
        <v>100</v>
      </c>
      <c r="F279" s="115">
        <v>3175</v>
      </c>
      <c r="G279" s="140">
        <v>3175</v>
      </c>
      <c r="H279" s="126">
        <v>10553</v>
      </c>
      <c r="I279" s="143"/>
      <c r="J279" s="122">
        <f>+F279+H279</f>
        <v>13728</v>
      </c>
    </row>
    <row r="280" spans="1:10">
      <c r="A280" s="139" t="s">
        <v>744</v>
      </c>
      <c r="B280" s="139" t="s">
        <v>536</v>
      </c>
      <c r="C280" s="139" t="s">
        <v>156</v>
      </c>
      <c r="D280" s="139" t="s">
        <v>162</v>
      </c>
      <c r="E280" s="139" t="s">
        <v>100</v>
      </c>
      <c r="F280" s="115">
        <v>16177.68</v>
      </c>
      <c r="G280" s="140">
        <v>16177.68</v>
      </c>
      <c r="H280" s="126"/>
      <c r="I280" s="143"/>
      <c r="J280" s="122">
        <f t="shared" si="3"/>
        <v>16177.68</v>
      </c>
    </row>
    <row r="281" spans="1:10">
      <c r="A281" s="139" t="s">
        <v>745</v>
      </c>
      <c r="B281" s="139" t="s">
        <v>746</v>
      </c>
      <c r="C281" s="139" t="s">
        <v>156</v>
      </c>
      <c r="D281" s="139" t="s">
        <v>162</v>
      </c>
      <c r="E281" s="139" t="s">
        <v>100</v>
      </c>
      <c r="F281" s="115">
        <v>18705.32</v>
      </c>
      <c r="G281" s="140">
        <v>18705.32</v>
      </c>
      <c r="H281" s="126"/>
      <c r="I281" s="143"/>
      <c r="J281" s="122">
        <f t="shared" si="3"/>
        <v>18705.32</v>
      </c>
    </row>
    <row r="282" spans="1:10">
      <c r="A282" s="139" t="s">
        <v>747</v>
      </c>
      <c r="B282" s="139" t="s">
        <v>748</v>
      </c>
      <c r="C282" s="139" t="s">
        <v>156</v>
      </c>
      <c r="D282" s="139" t="s">
        <v>162</v>
      </c>
      <c r="E282" s="139" t="s">
        <v>100</v>
      </c>
      <c r="F282" s="115">
        <v>135250</v>
      </c>
      <c r="G282" s="140">
        <v>135250</v>
      </c>
      <c r="H282" s="126"/>
      <c r="I282" s="143"/>
      <c r="J282" s="122">
        <f t="shared" si="3"/>
        <v>135250</v>
      </c>
    </row>
    <row r="283" spans="1:10">
      <c r="A283" s="139" t="s">
        <v>749</v>
      </c>
      <c r="B283" s="139" t="s">
        <v>750</v>
      </c>
      <c r="C283" s="139" t="s">
        <v>156</v>
      </c>
      <c r="D283" s="139" t="s">
        <v>162</v>
      </c>
      <c r="E283" s="139" t="s">
        <v>100</v>
      </c>
      <c r="F283" s="115">
        <v>60820</v>
      </c>
      <c r="G283" s="140">
        <v>60820</v>
      </c>
      <c r="H283" s="126"/>
      <c r="I283" s="143"/>
      <c r="J283" s="122">
        <f t="shared" si="3"/>
        <v>60820</v>
      </c>
    </row>
    <row r="284" spans="1:10">
      <c r="A284" s="139" t="s">
        <v>751</v>
      </c>
      <c r="B284" s="139" t="s">
        <v>752</v>
      </c>
      <c r="C284" s="139" t="s">
        <v>156</v>
      </c>
      <c r="D284" s="139" t="s">
        <v>162</v>
      </c>
      <c r="E284" s="139" t="s">
        <v>100</v>
      </c>
      <c r="F284" s="115">
        <v>22546.93</v>
      </c>
      <c r="G284" s="140">
        <v>30296.93</v>
      </c>
      <c r="H284" s="126">
        <v>8444.74</v>
      </c>
      <c r="I284" s="143"/>
      <c r="J284" s="122">
        <f>+F284+H284</f>
        <v>30991.67</v>
      </c>
    </row>
    <row r="285" spans="1:10">
      <c r="A285" s="139" t="s">
        <v>753</v>
      </c>
      <c r="B285" s="139" t="s">
        <v>220</v>
      </c>
      <c r="C285" s="139" t="s">
        <v>156</v>
      </c>
      <c r="D285" s="139" t="s">
        <v>162</v>
      </c>
      <c r="E285" s="139" t="s">
        <v>100</v>
      </c>
      <c r="F285" s="115">
        <v>20170.900000000001</v>
      </c>
      <c r="G285" s="140">
        <v>20170.900000000001</v>
      </c>
      <c r="H285" s="126"/>
      <c r="I285" s="143"/>
      <c r="J285" s="122">
        <f t="shared" si="3"/>
        <v>20170.900000000001</v>
      </c>
    </row>
    <row r="286" spans="1:10">
      <c r="A286" s="139" t="s">
        <v>754</v>
      </c>
      <c r="B286" s="139" t="s">
        <v>755</v>
      </c>
      <c r="C286" s="139" t="s">
        <v>156</v>
      </c>
      <c r="D286" s="139" t="s">
        <v>162</v>
      </c>
      <c r="E286" s="139" t="s">
        <v>100</v>
      </c>
      <c r="F286" s="115">
        <v>236.86</v>
      </c>
      <c r="G286" s="140">
        <v>236.86</v>
      </c>
      <c r="H286" s="126"/>
      <c r="I286" s="143"/>
      <c r="J286" s="122">
        <f t="shared" si="3"/>
        <v>236.86</v>
      </c>
    </row>
    <row r="287" spans="1:10">
      <c r="A287" s="139" t="s">
        <v>756</v>
      </c>
      <c r="B287" s="139" t="s">
        <v>757</v>
      </c>
      <c r="C287" s="139" t="s">
        <v>156</v>
      </c>
      <c r="D287" s="139" t="s">
        <v>162</v>
      </c>
      <c r="E287" s="139" t="s">
        <v>100</v>
      </c>
      <c r="F287" s="115">
        <v>0</v>
      </c>
      <c r="G287" s="140">
        <v>0</v>
      </c>
      <c r="H287" s="126"/>
      <c r="I287" s="143"/>
      <c r="J287" s="122">
        <f t="shared" si="3"/>
        <v>0</v>
      </c>
    </row>
    <row r="288" spans="1:10">
      <c r="A288" s="139" t="s">
        <v>758</v>
      </c>
      <c r="B288" s="139" t="s">
        <v>759</v>
      </c>
      <c r="C288" s="139" t="s">
        <v>156</v>
      </c>
      <c r="D288" s="139" t="s">
        <v>169</v>
      </c>
      <c r="E288" s="139" t="s">
        <v>760</v>
      </c>
      <c r="F288" s="115">
        <v>332347.03999999998</v>
      </c>
      <c r="G288" s="140">
        <v>339313.9</v>
      </c>
      <c r="H288" s="126"/>
      <c r="I288" s="143"/>
      <c r="J288" s="32"/>
    </row>
    <row r="289" spans="1:10">
      <c r="A289" s="139" t="s">
        <v>761</v>
      </c>
      <c r="B289" s="139" t="s">
        <v>762</v>
      </c>
      <c r="C289" s="139" t="s">
        <v>156</v>
      </c>
      <c r="D289" s="139" t="s">
        <v>157</v>
      </c>
      <c r="E289" s="139" t="s">
        <v>100</v>
      </c>
      <c r="F289" s="115">
        <v>0</v>
      </c>
      <c r="G289" s="140">
        <v>0</v>
      </c>
      <c r="H289" s="126"/>
      <c r="I289" s="143"/>
      <c r="J289" s="32"/>
    </row>
    <row r="290" spans="1:10">
      <c r="A290" s="139" t="s">
        <v>763</v>
      </c>
      <c r="B290" s="139" t="s">
        <v>764</v>
      </c>
      <c r="C290" s="139" t="s">
        <v>156</v>
      </c>
      <c r="D290" s="139" t="s">
        <v>162</v>
      </c>
      <c r="E290" s="139" t="s">
        <v>100</v>
      </c>
      <c r="F290" s="115">
        <v>275946.34999999998</v>
      </c>
      <c r="G290" s="140">
        <v>275946.34999999998</v>
      </c>
      <c r="H290" s="126"/>
      <c r="I290" s="143"/>
      <c r="J290" s="32">
        <f t="shared" si="3"/>
        <v>275946.34999999998</v>
      </c>
    </row>
    <row r="291" spans="1:10">
      <c r="A291" s="139" t="s">
        <v>765</v>
      </c>
      <c r="B291" s="139" t="s">
        <v>766</v>
      </c>
      <c r="C291" s="139" t="s">
        <v>156</v>
      </c>
      <c r="D291" s="139" t="s">
        <v>162</v>
      </c>
      <c r="E291" s="139" t="s">
        <v>100</v>
      </c>
      <c r="F291" s="115">
        <v>0</v>
      </c>
      <c r="G291" s="140">
        <v>0</v>
      </c>
      <c r="H291" s="126"/>
      <c r="I291" s="143"/>
      <c r="J291" s="32">
        <f t="shared" si="3"/>
        <v>0</v>
      </c>
    </row>
    <row r="292" spans="1:10">
      <c r="A292" s="139" t="s">
        <v>767</v>
      </c>
      <c r="B292" s="139" t="s">
        <v>768</v>
      </c>
      <c r="C292" s="139" t="s">
        <v>156</v>
      </c>
      <c r="D292" s="139" t="s">
        <v>162</v>
      </c>
      <c r="E292" s="139" t="s">
        <v>100</v>
      </c>
      <c r="F292" s="115">
        <v>107065.23</v>
      </c>
      <c r="G292" s="140">
        <v>107065.23</v>
      </c>
      <c r="H292" s="126"/>
      <c r="I292" s="143"/>
      <c r="J292" s="32">
        <f t="shared" si="3"/>
        <v>107065.23</v>
      </c>
    </row>
    <row r="293" spans="1:10">
      <c r="A293" s="139" t="s">
        <v>769</v>
      </c>
      <c r="B293" s="139" t="s">
        <v>770</v>
      </c>
      <c r="C293" s="139" t="s">
        <v>156</v>
      </c>
      <c r="D293" s="139" t="s">
        <v>162</v>
      </c>
      <c r="E293" s="139" t="s">
        <v>100</v>
      </c>
      <c r="F293" s="115">
        <v>4553.6499999999996</v>
      </c>
      <c r="G293" s="140">
        <v>4553.6499999999996</v>
      </c>
      <c r="H293" s="126"/>
      <c r="I293" s="143"/>
      <c r="J293" s="32">
        <f t="shared" si="3"/>
        <v>4553.6499999999996</v>
      </c>
    </row>
    <row r="294" spans="1:10">
      <c r="A294" s="139" t="s">
        <v>771</v>
      </c>
      <c r="B294" s="139" t="s">
        <v>772</v>
      </c>
      <c r="C294" s="139" t="s">
        <v>156</v>
      </c>
      <c r="D294" s="139" t="s">
        <v>162</v>
      </c>
      <c r="E294" s="139" t="s">
        <v>100</v>
      </c>
      <c r="F294" s="115">
        <v>6382.62</v>
      </c>
      <c r="G294" s="140">
        <v>6382.62</v>
      </c>
      <c r="H294" s="126"/>
      <c r="I294" s="143"/>
      <c r="J294" s="32">
        <f t="shared" si="3"/>
        <v>6382.62</v>
      </c>
    </row>
    <row r="295" spans="1:10">
      <c r="A295" s="139" t="s">
        <v>773</v>
      </c>
      <c r="B295" s="139" t="s">
        <v>774</v>
      </c>
      <c r="C295" s="139" t="s">
        <v>156</v>
      </c>
      <c r="D295" s="139" t="s">
        <v>162</v>
      </c>
      <c r="E295" s="139" t="s">
        <v>100</v>
      </c>
      <c r="F295" s="115">
        <v>-28016.44</v>
      </c>
      <c r="G295" s="140">
        <v>-26933.22</v>
      </c>
      <c r="H295" s="126"/>
      <c r="I295" s="143"/>
      <c r="J295" s="32">
        <f t="shared" si="3"/>
        <v>-28016.44</v>
      </c>
    </row>
    <row r="296" spans="1:10">
      <c r="A296" s="139" t="s">
        <v>775</v>
      </c>
      <c r="B296" s="139" t="s">
        <v>776</v>
      </c>
      <c r="C296" s="139" t="s">
        <v>156</v>
      </c>
      <c r="D296" s="139" t="s">
        <v>169</v>
      </c>
      <c r="E296" s="139" t="s">
        <v>777</v>
      </c>
      <c r="F296" s="115">
        <v>365931.41</v>
      </c>
      <c r="G296" s="140">
        <v>367014.63</v>
      </c>
      <c r="H296" s="126"/>
      <c r="I296" s="143"/>
      <c r="J296" s="32"/>
    </row>
    <row r="297" spans="1:10">
      <c r="A297" s="139" t="s">
        <v>778</v>
      </c>
      <c r="B297" s="139" t="s">
        <v>779</v>
      </c>
      <c r="C297" s="139" t="s">
        <v>156</v>
      </c>
      <c r="D297" s="139" t="s">
        <v>157</v>
      </c>
      <c r="E297" s="139" t="s">
        <v>100</v>
      </c>
      <c r="F297" s="115">
        <v>0</v>
      </c>
      <c r="G297" s="140">
        <v>0</v>
      </c>
      <c r="H297" s="126"/>
      <c r="I297" s="143"/>
      <c r="J297" s="32"/>
    </row>
    <row r="298" spans="1:10">
      <c r="A298" s="139" t="s">
        <v>780</v>
      </c>
      <c r="B298" s="139" t="s">
        <v>781</v>
      </c>
      <c r="C298" s="139" t="s">
        <v>156</v>
      </c>
      <c r="D298" s="139" t="s">
        <v>162</v>
      </c>
      <c r="E298" s="139" t="s">
        <v>100</v>
      </c>
      <c r="F298" s="115">
        <v>138154.5</v>
      </c>
      <c r="G298" s="140">
        <v>176794.5</v>
      </c>
      <c r="H298" s="126"/>
      <c r="I298" s="143"/>
      <c r="J298" s="32">
        <f t="shared" si="3"/>
        <v>138154.5</v>
      </c>
    </row>
    <row r="299" spans="1:10">
      <c r="A299" s="139" t="s">
        <v>782</v>
      </c>
      <c r="B299" s="139" t="s">
        <v>446</v>
      </c>
      <c r="C299" s="139" t="s">
        <v>156</v>
      </c>
      <c r="D299" s="139" t="s">
        <v>162</v>
      </c>
      <c r="E299" s="139" t="s">
        <v>100</v>
      </c>
      <c r="F299" s="115">
        <v>69002.23</v>
      </c>
      <c r="G299" s="140">
        <v>69002.23</v>
      </c>
      <c r="H299" s="126"/>
      <c r="I299" s="143"/>
      <c r="J299" s="32">
        <f t="shared" si="3"/>
        <v>69002.23</v>
      </c>
    </row>
    <row r="300" spans="1:10">
      <c r="A300" s="139" t="s">
        <v>783</v>
      </c>
      <c r="B300" s="139" t="s">
        <v>784</v>
      </c>
      <c r="C300" s="139" t="s">
        <v>156</v>
      </c>
      <c r="D300" s="139" t="s">
        <v>162</v>
      </c>
      <c r="E300" s="139" t="s">
        <v>100</v>
      </c>
      <c r="F300" s="115">
        <v>0</v>
      </c>
      <c r="G300" s="140">
        <v>0</v>
      </c>
      <c r="H300" s="126"/>
      <c r="I300" s="143"/>
      <c r="J300" s="32">
        <f t="shared" si="3"/>
        <v>0</v>
      </c>
    </row>
    <row r="301" spans="1:10">
      <c r="A301" s="139" t="s">
        <v>785</v>
      </c>
      <c r="B301" s="139" t="s">
        <v>786</v>
      </c>
      <c r="C301" s="139" t="s">
        <v>156</v>
      </c>
      <c r="D301" s="139" t="s">
        <v>169</v>
      </c>
      <c r="E301" s="139" t="s">
        <v>787</v>
      </c>
      <c r="F301" s="115">
        <v>207156.73</v>
      </c>
      <c r="G301" s="140">
        <v>245796.73</v>
      </c>
      <c r="H301" s="126"/>
      <c r="I301" s="143"/>
      <c r="J301" s="32"/>
    </row>
    <row r="302" spans="1:10">
      <c r="A302" s="139" t="s">
        <v>788</v>
      </c>
      <c r="B302" s="139" t="s">
        <v>789</v>
      </c>
      <c r="C302" s="139" t="s">
        <v>156</v>
      </c>
      <c r="D302" s="139" t="s">
        <v>157</v>
      </c>
      <c r="E302" s="139" t="s">
        <v>100</v>
      </c>
      <c r="F302" s="115">
        <v>0</v>
      </c>
      <c r="G302" s="140">
        <v>0</v>
      </c>
      <c r="H302" s="126"/>
      <c r="I302" s="143"/>
      <c r="J302" s="32"/>
    </row>
    <row r="303" spans="1:10">
      <c r="A303" s="139" t="s">
        <v>790</v>
      </c>
      <c r="B303" s="139" t="s">
        <v>733</v>
      </c>
      <c r="C303" s="139" t="s">
        <v>156</v>
      </c>
      <c r="D303" s="139" t="s">
        <v>157</v>
      </c>
      <c r="E303" s="139" t="s">
        <v>100</v>
      </c>
      <c r="F303" s="115">
        <v>0</v>
      </c>
      <c r="G303" s="140">
        <v>0</v>
      </c>
      <c r="H303" s="126"/>
      <c r="I303" s="143"/>
      <c r="J303" s="32">
        <f t="shared" si="3"/>
        <v>0</v>
      </c>
    </row>
    <row r="304" spans="1:10">
      <c r="A304" s="139" t="s">
        <v>791</v>
      </c>
      <c r="B304" s="139" t="s">
        <v>792</v>
      </c>
      <c r="C304" s="139" t="s">
        <v>156</v>
      </c>
      <c r="D304" s="139" t="s">
        <v>162</v>
      </c>
      <c r="E304" s="139" t="s">
        <v>100</v>
      </c>
      <c r="F304" s="115">
        <v>7751.66</v>
      </c>
      <c r="G304" s="140">
        <v>7751.66</v>
      </c>
      <c r="H304" s="126"/>
      <c r="I304" s="143"/>
      <c r="J304" s="32">
        <f t="shared" si="3"/>
        <v>7751.66</v>
      </c>
    </row>
    <row r="305" spans="1:10">
      <c r="A305" s="139" t="s">
        <v>793</v>
      </c>
      <c r="B305" s="139" t="s">
        <v>794</v>
      </c>
      <c r="C305" s="139" t="s">
        <v>156</v>
      </c>
      <c r="D305" s="139" t="s">
        <v>162</v>
      </c>
      <c r="E305" s="139" t="s">
        <v>100</v>
      </c>
      <c r="F305" s="115">
        <v>104466.42</v>
      </c>
      <c r="G305" s="140">
        <v>164072.54999999999</v>
      </c>
      <c r="H305" s="126"/>
      <c r="I305" s="143"/>
      <c r="J305" s="32">
        <f t="shared" si="3"/>
        <v>104466.42</v>
      </c>
    </row>
    <row r="306" spans="1:10">
      <c r="A306" s="139" t="s">
        <v>795</v>
      </c>
      <c r="B306" s="139" t="s">
        <v>796</v>
      </c>
      <c r="C306" s="139" t="s">
        <v>156</v>
      </c>
      <c r="D306" s="139" t="s">
        <v>162</v>
      </c>
      <c r="E306" s="139" t="s">
        <v>100</v>
      </c>
      <c r="F306" s="115">
        <v>218134.53</v>
      </c>
      <c r="G306" s="140">
        <v>224666.58</v>
      </c>
      <c r="H306" s="126"/>
      <c r="I306" s="143"/>
      <c r="J306" s="32">
        <f t="shared" si="3"/>
        <v>218134.53</v>
      </c>
    </row>
    <row r="307" spans="1:10">
      <c r="A307" s="139" t="s">
        <v>797</v>
      </c>
      <c r="B307" s="139" t="s">
        <v>798</v>
      </c>
      <c r="C307" s="139" t="s">
        <v>156</v>
      </c>
      <c r="D307" s="139" t="s">
        <v>162</v>
      </c>
      <c r="E307" s="139" t="s">
        <v>100</v>
      </c>
      <c r="F307" s="115">
        <v>0</v>
      </c>
      <c r="G307" s="140">
        <v>0</v>
      </c>
      <c r="H307" s="126"/>
      <c r="I307" s="143"/>
      <c r="J307" s="32">
        <f t="shared" si="3"/>
        <v>0</v>
      </c>
    </row>
    <row r="308" spans="1:10">
      <c r="A308" s="139" t="s">
        <v>799</v>
      </c>
      <c r="B308" s="139" t="s">
        <v>800</v>
      </c>
      <c r="C308" s="139" t="s">
        <v>156</v>
      </c>
      <c r="D308" s="139" t="s">
        <v>162</v>
      </c>
      <c r="E308" s="139" t="s">
        <v>100</v>
      </c>
      <c r="F308" s="115">
        <v>129647.05</v>
      </c>
      <c r="G308" s="140">
        <v>134155.84</v>
      </c>
      <c r="H308" s="126"/>
      <c r="I308" s="143"/>
      <c r="J308" s="32">
        <f t="shared" si="3"/>
        <v>129647.05</v>
      </c>
    </row>
    <row r="309" spans="1:10">
      <c r="A309" s="139" t="s">
        <v>801</v>
      </c>
      <c r="B309" s="139" t="s">
        <v>802</v>
      </c>
      <c r="C309" s="139" t="s">
        <v>156</v>
      </c>
      <c r="D309" s="139" t="s">
        <v>162</v>
      </c>
      <c r="E309" s="139" t="s">
        <v>100</v>
      </c>
      <c r="F309" s="115">
        <v>152339.51</v>
      </c>
      <c r="G309" s="140">
        <v>154229.51</v>
      </c>
      <c r="H309" s="126"/>
      <c r="I309" s="143"/>
      <c r="J309" s="32">
        <f t="shared" si="3"/>
        <v>152339.51</v>
      </c>
    </row>
    <row r="310" spans="1:10">
      <c r="A310" s="139" t="s">
        <v>803</v>
      </c>
      <c r="B310" s="139" t="s">
        <v>804</v>
      </c>
      <c r="C310" s="139" t="s">
        <v>156</v>
      </c>
      <c r="D310" s="139" t="s">
        <v>162</v>
      </c>
      <c r="E310" s="139" t="s">
        <v>100</v>
      </c>
      <c r="F310" s="115">
        <v>520937.49</v>
      </c>
      <c r="G310" s="140">
        <v>571485.16</v>
      </c>
      <c r="H310" s="126">
        <v>-4489</v>
      </c>
      <c r="I310" s="143"/>
      <c r="J310" s="32">
        <f>+F310+H310</f>
        <v>516448.49</v>
      </c>
    </row>
    <row r="311" spans="1:10">
      <c r="A311" s="139" t="s">
        <v>805</v>
      </c>
      <c r="B311" s="139" t="s">
        <v>806</v>
      </c>
      <c r="C311" s="139" t="s">
        <v>156</v>
      </c>
      <c r="D311" s="139" t="s">
        <v>169</v>
      </c>
      <c r="E311" s="139" t="s">
        <v>807</v>
      </c>
      <c r="F311" s="115">
        <v>1133276.6599999999</v>
      </c>
      <c r="G311" s="140">
        <v>1256361.3</v>
      </c>
      <c r="H311" s="126"/>
      <c r="I311" s="143"/>
      <c r="J311" s="32"/>
    </row>
    <row r="312" spans="1:10">
      <c r="A312" s="139" t="s">
        <v>808</v>
      </c>
      <c r="B312" s="139" t="s">
        <v>735</v>
      </c>
      <c r="C312" s="139" t="s">
        <v>156</v>
      </c>
      <c r="D312" s="139" t="s">
        <v>157</v>
      </c>
      <c r="E312" s="139" t="s">
        <v>100</v>
      </c>
      <c r="F312" s="115">
        <v>0</v>
      </c>
      <c r="G312" s="140">
        <v>0</v>
      </c>
      <c r="H312" s="126"/>
      <c r="I312" s="143"/>
      <c r="J312" s="32"/>
    </row>
    <row r="313" spans="1:10">
      <c r="A313" s="139" t="s">
        <v>809</v>
      </c>
      <c r="B313" s="139" t="s">
        <v>735</v>
      </c>
      <c r="C313" s="139" t="s">
        <v>156</v>
      </c>
      <c r="D313" s="139" t="s">
        <v>162</v>
      </c>
      <c r="E313" s="139" t="s">
        <v>100</v>
      </c>
      <c r="F313" s="115">
        <v>0</v>
      </c>
      <c r="G313" s="140">
        <v>0</v>
      </c>
      <c r="H313" s="126"/>
      <c r="I313" s="143"/>
      <c r="J313" s="32">
        <f t="shared" si="3"/>
        <v>0</v>
      </c>
    </row>
    <row r="314" spans="1:10">
      <c r="A314" s="139" t="s">
        <v>810</v>
      </c>
      <c r="B314" s="139" t="s">
        <v>811</v>
      </c>
      <c r="C314" s="139" t="s">
        <v>156</v>
      </c>
      <c r="D314" s="139" t="s">
        <v>169</v>
      </c>
      <c r="E314" s="139" t="s">
        <v>812</v>
      </c>
      <c r="F314" s="115">
        <v>0</v>
      </c>
      <c r="G314" s="140">
        <v>0</v>
      </c>
      <c r="H314" s="126"/>
      <c r="I314" s="143"/>
      <c r="J314" s="32"/>
    </row>
    <row r="315" spans="1:10">
      <c r="A315" s="139" t="s">
        <v>813</v>
      </c>
      <c r="B315" s="139" t="s">
        <v>814</v>
      </c>
      <c r="C315" s="139" t="s">
        <v>156</v>
      </c>
      <c r="D315" s="139" t="s">
        <v>169</v>
      </c>
      <c r="E315" s="139" t="s">
        <v>815</v>
      </c>
      <c r="F315" s="115">
        <v>1133276.6599999999</v>
      </c>
      <c r="G315" s="140">
        <v>1256361.3</v>
      </c>
      <c r="H315" s="126"/>
      <c r="I315" s="143"/>
      <c r="J315" s="32"/>
    </row>
    <row r="316" spans="1:10">
      <c r="A316" s="139" t="s">
        <v>816</v>
      </c>
      <c r="B316" s="139" t="s">
        <v>817</v>
      </c>
      <c r="C316" s="139" t="s">
        <v>156</v>
      </c>
      <c r="D316" s="139" t="s">
        <v>157</v>
      </c>
      <c r="E316" s="139" t="s">
        <v>100</v>
      </c>
      <c r="F316" s="115">
        <v>0</v>
      </c>
      <c r="G316" s="140">
        <v>0</v>
      </c>
      <c r="H316" s="126"/>
      <c r="I316" s="143"/>
      <c r="J316" s="32">
        <f t="shared" si="3"/>
        <v>0</v>
      </c>
    </row>
    <row r="317" spans="1:10">
      <c r="A317" s="139" t="s">
        <v>818</v>
      </c>
      <c r="B317" s="139" t="s">
        <v>819</v>
      </c>
      <c r="C317" s="139" t="s">
        <v>156</v>
      </c>
      <c r="D317" s="139" t="s">
        <v>162</v>
      </c>
      <c r="E317" s="139" t="s">
        <v>100</v>
      </c>
      <c r="F317" s="115">
        <v>37500</v>
      </c>
      <c r="G317" s="140">
        <v>37500</v>
      </c>
      <c r="H317" s="126"/>
      <c r="I317" s="143"/>
      <c r="J317" s="32">
        <f t="shared" si="3"/>
        <v>37500</v>
      </c>
    </row>
    <row r="318" spans="1:10">
      <c r="A318" s="139" t="s">
        <v>820</v>
      </c>
      <c r="B318" s="139" t="s">
        <v>821</v>
      </c>
      <c r="C318" s="139" t="s">
        <v>156</v>
      </c>
      <c r="D318" s="139" t="s">
        <v>169</v>
      </c>
      <c r="E318" s="139" t="s">
        <v>822</v>
      </c>
      <c r="F318" s="115">
        <v>37500</v>
      </c>
      <c r="G318" s="140">
        <v>37500</v>
      </c>
      <c r="H318" s="126"/>
      <c r="I318" s="143"/>
      <c r="J318" s="32"/>
    </row>
    <row r="319" spans="1:10">
      <c r="A319" s="139" t="s">
        <v>823</v>
      </c>
      <c r="B319" s="139" t="s">
        <v>824</v>
      </c>
      <c r="C319" s="139" t="s">
        <v>156</v>
      </c>
      <c r="D319" s="139" t="s">
        <v>157</v>
      </c>
      <c r="E319" s="139" t="s">
        <v>100</v>
      </c>
      <c r="F319" s="115">
        <v>0</v>
      </c>
      <c r="G319" s="140">
        <v>0</v>
      </c>
      <c r="H319" s="126"/>
      <c r="I319" s="143"/>
      <c r="J319" s="32"/>
    </row>
    <row r="320" spans="1:10">
      <c r="A320" s="139" t="s">
        <v>825</v>
      </c>
      <c r="B320" s="139" t="s">
        <v>826</v>
      </c>
      <c r="C320" s="139" t="s">
        <v>156</v>
      </c>
      <c r="D320" s="139" t="s">
        <v>162</v>
      </c>
      <c r="E320" s="139" t="s">
        <v>100</v>
      </c>
      <c r="F320" s="115">
        <v>15104.94</v>
      </c>
      <c r="G320" s="140">
        <v>15104.94</v>
      </c>
      <c r="H320" s="126"/>
      <c r="I320" s="143"/>
      <c r="J320" s="32">
        <f t="shared" si="3"/>
        <v>15104.94</v>
      </c>
    </row>
    <row r="321" spans="1:10">
      <c r="A321" s="139" t="s">
        <v>827</v>
      </c>
      <c r="B321" s="139" t="s">
        <v>828</v>
      </c>
      <c r="C321" s="139" t="s">
        <v>156</v>
      </c>
      <c r="D321" s="139" t="s">
        <v>169</v>
      </c>
      <c r="E321" s="139" t="s">
        <v>829</v>
      </c>
      <c r="F321" s="115">
        <v>15104.94</v>
      </c>
      <c r="G321" s="140">
        <v>15104.94</v>
      </c>
      <c r="H321" s="126"/>
      <c r="I321" s="143"/>
      <c r="J321" s="32"/>
    </row>
    <row r="322" spans="1:10">
      <c r="A322" s="139" t="s">
        <v>830</v>
      </c>
      <c r="B322" s="139" t="s">
        <v>831</v>
      </c>
      <c r="C322" s="139" t="s">
        <v>156</v>
      </c>
      <c r="D322" s="139" t="s">
        <v>169</v>
      </c>
      <c r="E322" s="139" t="s">
        <v>832</v>
      </c>
      <c r="F322" s="115">
        <v>2091316.78</v>
      </c>
      <c r="G322" s="140">
        <v>2261091.5</v>
      </c>
      <c r="H322" s="126"/>
      <c r="I322" s="143"/>
      <c r="J322" s="32"/>
    </row>
    <row r="323" spans="1:10">
      <c r="A323" s="139" t="s">
        <v>833</v>
      </c>
      <c r="B323" s="139" t="s">
        <v>97</v>
      </c>
      <c r="C323" s="139" t="s">
        <v>156</v>
      </c>
      <c r="D323" s="139" t="s">
        <v>157</v>
      </c>
      <c r="E323" s="139" t="s">
        <v>100</v>
      </c>
      <c r="F323" s="115">
        <v>0</v>
      </c>
      <c r="G323" s="140">
        <v>0</v>
      </c>
      <c r="H323" s="126"/>
      <c r="I323" s="143"/>
      <c r="J323" s="32">
        <f t="shared" ref="J323:J335" si="4">+F323</f>
        <v>0</v>
      </c>
    </row>
    <row r="324" spans="1:10">
      <c r="A324" s="139" t="s">
        <v>834</v>
      </c>
      <c r="B324" s="139" t="s">
        <v>835</v>
      </c>
      <c r="C324" s="139" t="s">
        <v>156</v>
      </c>
      <c r="D324" s="139" t="s">
        <v>162</v>
      </c>
      <c r="E324" s="139" t="s">
        <v>100</v>
      </c>
      <c r="F324" s="115">
        <v>255.76</v>
      </c>
      <c r="G324" s="140">
        <v>255.76</v>
      </c>
      <c r="H324" s="126"/>
      <c r="I324" s="143"/>
      <c r="J324" s="32">
        <f t="shared" si="4"/>
        <v>255.76</v>
      </c>
    </row>
    <row r="325" spans="1:10">
      <c r="A325" s="139" t="s">
        <v>836</v>
      </c>
      <c r="B325" s="139" t="s">
        <v>837</v>
      </c>
      <c r="C325" s="139" t="s">
        <v>156</v>
      </c>
      <c r="D325" s="139" t="s">
        <v>162</v>
      </c>
      <c r="E325" s="139" t="s">
        <v>100</v>
      </c>
      <c r="F325" s="115">
        <v>23688.93</v>
      </c>
      <c r="G325" s="140">
        <v>24689.67</v>
      </c>
      <c r="H325" s="126"/>
      <c r="I325" s="143"/>
      <c r="J325" s="32">
        <f t="shared" si="4"/>
        <v>23688.93</v>
      </c>
    </row>
    <row r="326" spans="1:10">
      <c r="A326" s="139" t="s">
        <v>838</v>
      </c>
      <c r="B326" s="139" t="s">
        <v>839</v>
      </c>
      <c r="C326" s="139" t="s">
        <v>156</v>
      </c>
      <c r="D326" s="139" t="s">
        <v>169</v>
      </c>
      <c r="E326" s="139" t="s">
        <v>840</v>
      </c>
      <c r="F326" s="115">
        <v>23944.69</v>
      </c>
      <c r="G326" s="140">
        <v>24945.43</v>
      </c>
      <c r="H326" s="126"/>
      <c r="I326" s="143"/>
      <c r="J326" s="32"/>
    </row>
    <row r="327" spans="1:10">
      <c r="A327" s="139" t="s">
        <v>841</v>
      </c>
      <c r="B327" s="139" t="s">
        <v>842</v>
      </c>
      <c r="C327" s="139" t="s">
        <v>156</v>
      </c>
      <c r="D327" s="139" t="s">
        <v>169</v>
      </c>
      <c r="E327" s="139" t="s">
        <v>843</v>
      </c>
      <c r="F327" s="115">
        <v>16608133.48</v>
      </c>
      <c r="G327" s="140">
        <v>18306308.25</v>
      </c>
      <c r="H327" s="126"/>
      <c r="I327" s="143"/>
      <c r="J327" s="32"/>
    </row>
    <row r="328" spans="1:10">
      <c r="A328" s="139" t="s">
        <v>844</v>
      </c>
      <c r="B328" s="139" t="s">
        <v>845</v>
      </c>
      <c r="C328" s="139" t="s">
        <v>156</v>
      </c>
      <c r="D328" s="139" t="s">
        <v>157</v>
      </c>
      <c r="E328" s="139" t="s">
        <v>100</v>
      </c>
      <c r="F328" s="115">
        <v>0</v>
      </c>
      <c r="G328" s="140">
        <v>0</v>
      </c>
      <c r="H328" s="126"/>
      <c r="I328" s="143"/>
      <c r="J328" s="32">
        <f t="shared" si="4"/>
        <v>0</v>
      </c>
    </row>
    <row r="329" spans="1:10">
      <c r="A329" s="139" t="s">
        <v>846</v>
      </c>
      <c r="B329" s="139" t="s">
        <v>847</v>
      </c>
      <c r="C329" s="139" t="s">
        <v>156</v>
      </c>
      <c r="D329" s="139" t="s">
        <v>162</v>
      </c>
      <c r="E329" s="139" t="s">
        <v>100</v>
      </c>
      <c r="F329" s="115">
        <v>1938594.75</v>
      </c>
      <c r="G329" s="140">
        <v>2060344.6</v>
      </c>
      <c r="H329" s="126"/>
      <c r="I329" s="143"/>
      <c r="J329" s="32">
        <f t="shared" si="4"/>
        <v>1938594.75</v>
      </c>
    </row>
    <row r="330" spans="1:10">
      <c r="A330" s="139" t="s">
        <v>848</v>
      </c>
      <c r="B330" s="139" t="s">
        <v>849</v>
      </c>
      <c r="C330" s="139" t="s">
        <v>156</v>
      </c>
      <c r="D330" s="139" t="s">
        <v>162</v>
      </c>
      <c r="E330" s="139" t="s">
        <v>100</v>
      </c>
      <c r="F330" s="115">
        <v>0</v>
      </c>
      <c r="G330" s="140">
        <v>0</v>
      </c>
      <c r="H330" s="126"/>
      <c r="I330" s="143"/>
      <c r="J330" s="32">
        <f t="shared" si="4"/>
        <v>0</v>
      </c>
    </row>
    <row r="331" spans="1:10">
      <c r="A331" s="139" t="s">
        <v>850</v>
      </c>
      <c r="B331" s="139" t="s">
        <v>851</v>
      </c>
      <c r="C331" s="139" t="s">
        <v>156</v>
      </c>
      <c r="D331" s="139" t="s">
        <v>169</v>
      </c>
      <c r="E331" s="139" t="s">
        <v>852</v>
      </c>
      <c r="F331" s="115">
        <v>1938594.75</v>
      </c>
      <c r="G331" s="140">
        <v>2060344.6</v>
      </c>
      <c r="H331" s="126"/>
      <c r="I331" s="143"/>
      <c r="J331" s="32"/>
    </row>
    <row r="332" spans="1:10">
      <c r="A332" s="139" t="s">
        <v>853</v>
      </c>
      <c r="B332" s="139" t="s">
        <v>854</v>
      </c>
      <c r="C332" s="139" t="s">
        <v>156</v>
      </c>
      <c r="D332" s="139" t="s">
        <v>157</v>
      </c>
      <c r="E332" s="139" t="s">
        <v>100</v>
      </c>
      <c r="F332" s="115">
        <v>0</v>
      </c>
      <c r="G332" s="140">
        <v>0</v>
      </c>
      <c r="H332" s="126"/>
      <c r="I332" s="143"/>
      <c r="J332" s="32"/>
    </row>
    <row r="333" spans="1:10">
      <c r="A333" s="139" t="s">
        <v>855</v>
      </c>
      <c r="B333" s="139" t="s">
        <v>856</v>
      </c>
      <c r="C333" s="139" t="s">
        <v>156</v>
      </c>
      <c r="D333" s="139" t="s">
        <v>162</v>
      </c>
      <c r="E333" s="139" t="s">
        <v>100</v>
      </c>
      <c r="F333" s="115">
        <v>0</v>
      </c>
      <c r="G333" s="140">
        <v>0</v>
      </c>
      <c r="H333" s="126"/>
      <c r="I333" s="143"/>
      <c r="J333" s="32">
        <f t="shared" si="4"/>
        <v>0</v>
      </c>
    </row>
    <row r="334" spans="1:10">
      <c r="A334" s="139" t="s">
        <v>857</v>
      </c>
      <c r="B334" s="139" t="s">
        <v>858</v>
      </c>
      <c r="C334" s="139" t="s">
        <v>156</v>
      </c>
      <c r="D334" s="139" t="s">
        <v>162</v>
      </c>
      <c r="E334" s="139" t="s">
        <v>100</v>
      </c>
      <c r="F334" s="115">
        <v>0</v>
      </c>
      <c r="G334" s="140">
        <v>-52.5</v>
      </c>
      <c r="H334" s="126"/>
      <c r="I334" s="143"/>
      <c r="J334" s="32">
        <f t="shared" si="4"/>
        <v>0</v>
      </c>
    </row>
    <row r="335" spans="1:10">
      <c r="A335" s="139" t="s">
        <v>859</v>
      </c>
      <c r="B335" s="139" t="s">
        <v>860</v>
      </c>
      <c r="C335" s="139" t="s">
        <v>156</v>
      </c>
      <c r="D335" s="139" t="s">
        <v>162</v>
      </c>
      <c r="E335" s="139" t="s">
        <v>100</v>
      </c>
      <c r="F335" s="115">
        <v>0</v>
      </c>
      <c r="G335" s="140">
        <v>0</v>
      </c>
      <c r="H335" s="126"/>
      <c r="I335" s="143"/>
      <c r="J335" s="32">
        <f t="shared" si="4"/>
        <v>0</v>
      </c>
    </row>
    <row r="336" spans="1:10">
      <c r="A336" s="139" t="s">
        <v>861</v>
      </c>
      <c r="B336" s="139" t="s">
        <v>862</v>
      </c>
      <c r="C336" s="139" t="s">
        <v>156</v>
      </c>
      <c r="D336" s="139" t="s">
        <v>598</v>
      </c>
      <c r="E336" s="139" t="s">
        <v>863</v>
      </c>
      <c r="F336" s="115">
        <v>1938594.75</v>
      </c>
      <c r="G336" s="140">
        <v>2060292.1</v>
      </c>
      <c r="H336" s="126"/>
      <c r="I336" s="143"/>
      <c r="J336" s="32"/>
    </row>
    <row r="337" spans="1:11">
      <c r="A337" s="139" t="s">
        <v>864</v>
      </c>
      <c r="B337" s="139" t="s">
        <v>865</v>
      </c>
      <c r="C337" s="139" t="s">
        <v>156</v>
      </c>
      <c r="D337" s="139" t="s">
        <v>598</v>
      </c>
      <c r="E337" s="139" t="s">
        <v>866</v>
      </c>
      <c r="F337" s="115">
        <v>18546728.23</v>
      </c>
      <c r="G337" s="140">
        <v>20366600.350000001</v>
      </c>
      <c r="H337" s="126"/>
      <c r="I337" s="143"/>
      <c r="J337" s="32"/>
    </row>
    <row r="338" spans="1:11">
      <c r="A338" s="139" t="s">
        <v>867</v>
      </c>
      <c r="B338" s="139" t="s">
        <v>868</v>
      </c>
      <c r="C338" s="139" t="s">
        <v>156</v>
      </c>
      <c r="D338" s="139" t="s">
        <v>598</v>
      </c>
      <c r="E338" s="139" t="s">
        <v>869</v>
      </c>
      <c r="F338" s="132">
        <v>705232.85</v>
      </c>
      <c r="G338" s="133">
        <v>2330871.6800000002</v>
      </c>
      <c r="H338" s="134"/>
      <c r="I338" s="144"/>
      <c r="J338" s="131"/>
      <c r="K338" s="3">
        <f>SUM(J3:J335)</f>
        <v>696047.80000000424</v>
      </c>
    </row>
    <row r="339" spans="1:11">
      <c r="A339" s="139" t="s">
        <v>870</v>
      </c>
      <c r="B339" s="139" t="s">
        <v>871</v>
      </c>
      <c r="C339" s="139" t="s">
        <v>872</v>
      </c>
      <c r="D339" s="139" t="s">
        <v>157</v>
      </c>
      <c r="E339" s="139" t="s">
        <v>100</v>
      </c>
      <c r="F339" s="127">
        <v>0</v>
      </c>
      <c r="G339" s="140">
        <v>0</v>
      </c>
      <c r="H339" s="128"/>
      <c r="I339" s="145"/>
      <c r="J339" s="41"/>
    </row>
    <row r="340" spans="1:11">
      <c r="A340" s="139" t="s">
        <v>873</v>
      </c>
      <c r="B340" s="139" t="s">
        <v>874</v>
      </c>
      <c r="C340" s="139" t="s">
        <v>872</v>
      </c>
      <c r="D340" s="139" t="s">
        <v>157</v>
      </c>
      <c r="E340" s="139" t="s">
        <v>100</v>
      </c>
      <c r="F340" s="127">
        <v>0</v>
      </c>
      <c r="G340" s="140">
        <v>0</v>
      </c>
      <c r="H340" s="128"/>
      <c r="I340" s="145"/>
      <c r="J340" s="41"/>
    </row>
    <row r="341" spans="1:11">
      <c r="A341" s="139" t="s">
        <v>875</v>
      </c>
      <c r="B341" s="139" t="s">
        <v>876</v>
      </c>
      <c r="C341" s="139" t="s">
        <v>872</v>
      </c>
      <c r="D341" s="139" t="s">
        <v>157</v>
      </c>
      <c r="E341" s="139" t="s">
        <v>100</v>
      </c>
      <c r="F341" s="127">
        <v>0</v>
      </c>
      <c r="G341" s="140">
        <v>0</v>
      </c>
      <c r="H341" s="128"/>
      <c r="I341" s="145"/>
      <c r="J341" s="41"/>
    </row>
    <row r="342" spans="1:11">
      <c r="A342" s="139" t="s">
        <v>877</v>
      </c>
      <c r="B342" s="139" t="s">
        <v>878</v>
      </c>
      <c r="C342" s="139" t="s">
        <v>872</v>
      </c>
      <c r="D342" s="139" t="s">
        <v>162</v>
      </c>
      <c r="E342" s="139" t="s">
        <v>100</v>
      </c>
      <c r="F342" s="127">
        <v>28500000</v>
      </c>
      <c r="G342" s="140">
        <v>28500000</v>
      </c>
      <c r="H342" s="128"/>
      <c r="I342" s="145"/>
      <c r="J342" s="41">
        <f>+F342</f>
        <v>28500000</v>
      </c>
    </row>
    <row r="343" spans="1:11">
      <c r="A343" s="139" t="s">
        <v>879</v>
      </c>
      <c r="B343" s="139" t="s">
        <v>880</v>
      </c>
      <c r="C343" s="139" t="s">
        <v>872</v>
      </c>
      <c r="D343" s="139" t="s">
        <v>162</v>
      </c>
      <c r="E343" s="139" t="s">
        <v>100</v>
      </c>
      <c r="F343" s="127">
        <v>22107400</v>
      </c>
      <c r="G343" s="140">
        <v>22107400</v>
      </c>
      <c r="H343" s="128"/>
      <c r="I343" s="145"/>
      <c r="J343" s="41">
        <f t="shared" ref="J343:J400" si="5">+F343</f>
        <v>22107400</v>
      </c>
    </row>
    <row r="344" spans="1:11">
      <c r="A344" s="139" t="s">
        <v>881</v>
      </c>
      <c r="B344" s="139" t="s">
        <v>882</v>
      </c>
      <c r="C344" s="139" t="s">
        <v>872</v>
      </c>
      <c r="D344" s="139" t="s">
        <v>162</v>
      </c>
      <c r="E344" s="139" t="s">
        <v>100</v>
      </c>
      <c r="F344" s="127">
        <v>4050000</v>
      </c>
      <c r="G344" s="140">
        <v>4050000</v>
      </c>
      <c r="H344" s="128"/>
      <c r="I344" s="145"/>
      <c r="J344" s="41">
        <f t="shared" si="5"/>
        <v>4050000</v>
      </c>
    </row>
    <row r="345" spans="1:11">
      <c r="A345" s="139" t="s">
        <v>883</v>
      </c>
      <c r="B345" s="139" t="s">
        <v>884</v>
      </c>
      <c r="C345" s="139" t="s">
        <v>872</v>
      </c>
      <c r="D345" s="139" t="s">
        <v>162</v>
      </c>
      <c r="E345" s="139" t="s">
        <v>100</v>
      </c>
      <c r="F345" s="127">
        <v>101601</v>
      </c>
      <c r="G345" s="140">
        <v>101601</v>
      </c>
      <c r="H345" s="128"/>
      <c r="I345" s="145"/>
      <c r="J345" s="41">
        <f t="shared" si="5"/>
        <v>101601</v>
      </c>
    </row>
    <row r="346" spans="1:11">
      <c r="A346" s="139" t="s">
        <v>885</v>
      </c>
      <c r="B346" s="139" t="s">
        <v>886</v>
      </c>
      <c r="C346" s="139" t="s">
        <v>872</v>
      </c>
      <c r="D346" s="139" t="s">
        <v>162</v>
      </c>
      <c r="E346" s="139" t="s">
        <v>100</v>
      </c>
      <c r="F346" s="127">
        <v>140400</v>
      </c>
      <c r="G346" s="140">
        <v>140400</v>
      </c>
      <c r="H346" s="128"/>
      <c r="I346" s="145"/>
      <c r="J346" s="41">
        <f t="shared" si="5"/>
        <v>140400</v>
      </c>
    </row>
    <row r="347" spans="1:11">
      <c r="A347" s="139" t="s">
        <v>887</v>
      </c>
      <c r="B347" s="139" t="s">
        <v>888</v>
      </c>
      <c r="C347" s="139" t="s">
        <v>872</v>
      </c>
      <c r="D347" s="139" t="s">
        <v>162</v>
      </c>
      <c r="E347" s="139" t="s">
        <v>100</v>
      </c>
      <c r="F347" s="127">
        <v>200000</v>
      </c>
      <c r="G347" s="140">
        <v>200000</v>
      </c>
      <c r="H347" s="128"/>
      <c r="I347" s="145"/>
      <c r="J347" s="41">
        <f t="shared" si="5"/>
        <v>200000</v>
      </c>
    </row>
    <row r="348" spans="1:11">
      <c r="A348" s="139" t="s">
        <v>889</v>
      </c>
      <c r="B348" s="139" t="s">
        <v>890</v>
      </c>
      <c r="C348" s="139" t="s">
        <v>872</v>
      </c>
      <c r="D348" s="139" t="s">
        <v>169</v>
      </c>
      <c r="E348" s="139" t="s">
        <v>891</v>
      </c>
      <c r="F348" s="127">
        <v>55099401</v>
      </c>
      <c r="G348" s="140">
        <v>55099401</v>
      </c>
      <c r="H348" s="128"/>
      <c r="I348" s="145"/>
      <c r="J348" s="41"/>
    </row>
    <row r="349" spans="1:11">
      <c r="A349" s="139" t="s">
        <v>892</v>
      </c>
      <c r="B349" s="139" t="s">
        <v>893</v>
      </c>
      <c r="C349" s="139" t="s">
        <v>872</v>
      </c>
      <c r="D349" s="139" t="s">
        <v>157</v>
      </c>
      <c r="E349" s="139" t="s">
        <v>100</v>
      </c>
      <c r="F349" s="127">
        <v>0</v>
      </c>
      <c r="G349" s="140">
        <v>0</v>
      </c>
      <c r="H349" s="128"/>
      <c r="I349" s="145"/>
      <c r="J349" s="41">
        <f t="shared" si="5"/>
        <v>0</v>
      </c>
    </row>
    <row r="350" spans="1:11">
      <c r="A350" s="139" t="s">
        <v>894</v>
      </c>
      <c r="B350" s="139" t="s">
        <v>895</v>
      </c>
      <c r="C350" s="139" t="s">
        <v>872</v>
      </c>
      <c r="D350" s="139" t="s">
        <v>162</v>
      </c>
      <c r="E350" s="139" t="s">
        <v>100</v>
      </c>
      <c r="F350" s="127">
        <v>224000</v>
      </c>
      <c r="G350" s="140">
        <v>224000</v>
      </c>
      <c r="H350" s="128"/>
      <c r="I350" s="145"/>
      <c r="J350" s="41">
        <f t="shared" si="5"/>
        <v>224000</v>
      </c>
    </row>
    <row r="351" spans="1:11">
      <c r="A351" s="139" t="s">
        <v>896</v>
      </c>
      <c r="B351" s="139" t="s">
        <v>897</v>
      </c>
      <c r="C351" s="139" t="s">
        <v>872</v>
      </c>
      <c r="D351" s="139" t="s">
        <v>169</v>
      </c>
      <c r="E351" s="139" t="s">
        <v>898</v>
      </c>
      <c r="F351" s="127">
        <v>224000</v>
      </c>
      <c r="G351" s="140">
        <v>224000</v>
      </c>
      <c r="H351" s="128"/>
      <c r="I351" s="145"/>
      <c r="J351" s="41"/>
    </row>
    <row r="352" spans="1:11">
      <c r="A352" s="139" t="s">
        <v>899</v>
      </c>
      <c r="B352" s="139" t="s">
        <v>900</v>
      </c>
      <c r="C352" s="139" t="s">
        <v>872</v>
      </c>
      <c r="D352" s="139" t="s">
        <v>157</v>
      </c>
      <c r="E352" s="139" t="s">
        <v>100</v>
      </c>
      <c r="F352" s="127">
        <v>0</v>
      </c>
      <c r="G352" s="140">
        <v>0</v>
      </c>
      <c r="H352" s="128"/>
      <c r="I352" s="145"/>
      <c r="J352" s="41">
        <f t="shared" si="5"/>
        <v>0</v>
      </c>
    </row>
    <row r="353" spans="1:10">
      <c r="A353" s="139" t="s">
        <v>901</v>
      </c>
      <c r="B353" s="139" t="s">
        <v>902</v>
      </c>
      <c r="C353" s="139" t="s">
        <v>872</v>
      </c>
      <c r="D353" s="139" t="s">
        <v>162</v>
      </c>
      <c r="E353" s="139" t="s">
        <v>100</v>
      </c>
      <c r="F353" s="127">
        <v>3366400</v>
      </c>
      <c r="G353" s="140">
        <v>3366400</v>
      </c>
      <c r="H353" s="128"/>
      <c r="I353" s="145"/>
      <c r="J353" s="41">
        <f t="shared" si="5"/>
        <v>3366400</v>
      </c>
    </row>
    <row r="354" spans="1:10">
      <c r="A354" s="139" t="s">
        <v>903</v>
      </c>
      <c r="B354" s="139" t="s">
        <v>2147</v>
      </c>
      <c r="C354" s="139" t="s">
        <v>872</v>
      </c>
      <c r="D354" s="139" t="s">
        <v>162</v>
      </c>
      <c r="E354" s="139" t="s">
        <v>100</v>
      </c>
      <c r="F354" s="127">
        <v>171875</v>
      </c>
      <c r="G354" s="140">
        <v>171875</v>
      </c>
      <c r="H354" s="128"/>
      <c r="I354" s="145"/>
      <c r="J354" s="41">
        <f t="shared" si="5"/>
        <v>171875</v>
      </c>
    </row>
    <row r="355" spans="1:10">
      <c r="A355" s="139" t="s">
        <v>905</v>
      </c>
      <c r="B355" s="139" t="s">
        <v>906</v>
      </c>
      <c r="C355" s="139" t="s">
        <v>872</v>
      </c>
      <c r="D355" s="139" t="s">
        <v>162</v>
      </c>
      <c r="E355" s="139" t="s">
        <v>100</v>
      </c>
      <c r="F355" s="127">
        <v>8250</v>
      </c>
      <c r="G355" s="140">
        <v>8250</v>
      </c>
      <c r="H355" s="128"/>
      <c r="I355" s="145"/>
      <c r="J355" s="41">
        <f t="shared" si="5"/>
        <v>8250</v>
      </c>
    </row>
    <row r="356" spans="1:10">
      <c r="A356" s="139" t="s">
        <v>907</v>
      </c>
      <c r="B356" s="139" t="s">
        <v>908</v>
      </c>
      <c r="C356" s="139" t="s">
        <v>872</v>
      </c>
      <c r="D356" s="139" t="s">
        <v>162</v>
      </c>
      <c r="E356" s="139" t="s">
        <v>100</v>
      </c>
      <c r="F356" s="127">
        <v>2986090</v>
      </c>
      <c r="G356" s="140">
        <v>2986090</v>
      </c>
      <c r="H356" s="128"/>
      <c r="I356" s="145"/>
      <c r="J356" s="41">
        <f t="shared" si="5"/>
        <v>2986090</v>
      </c>
    </row>
    <row r="357" spans="1:10">
      <c r="A357" s="139" t="s">
        <v>909</v>
      </c>
      <c r="B357" s="139" t="s">
        <v>910</v>
      </c>
      <c r="C357" s="139" t="s">
        <v>872</v>
      </c>
      <c r="D357" s="139" t="s">
        <v>162</v>
      </c>
      <c r="E357" s="139" t="s">
        <v>100</v>
      </c>
      <c r="F357" s="127">
        <v>39446</v>
      </c>
      <c r="G357" s="140">
        <v>39446</v>
      </c>
      <c r="H357" s="128"/>
      <c r="I357" s="145"/>
      <c r="J357" s="41">
        <f t="shared" si="5"/>
        <v>39446</v>
      </c>
    </row>
    <row r="358" spans="1:10">
      <c r="A358" s="139" t="s">
        <v>911</v>
      </c>
      <c r="B358" s="139" t="s">
        <v>912</v>
      </c>
      <c r="C358" s="139" t="s">
        <v>872</v>
      </c>
      <c r="D358" s="139" t="s">
        <v>162</v>
      </c>
      <c r="E358" s="139" t="s">
        <v>100</v>
      </c>
      <c r="F358" s="127">
        <v>1500000</v>
      </c>
      <c r="G358" s="140">
        <v>1500000</v>
      </c>
      <c r="H358" s="128"/>
      <c r="I358" s="145"/>
      <c r="J358" s="41">
        <f t="shared" si="5"/>
        <v>1500000</v>
      </c>
    </row>
    <row r="359" spans="1:10">
      <c r="A359" s="139" t="s">
        <v>913</v>
      </c>
      <c r="B359" s="139" t="s">
        <v>914</v>
      </c>
      <c r="C359" s="139" t="s">
        <v>872</v>
      </c>
      <c r="D359" s="139" t="s">
        <v>169</v>
      </c>
      <c r="E359" s="139" t="s">
        <v>915</v>
      </c>
      <c r="F359" s="127">
        <v>8072061</v>
      </c>
      <c r="G359" s="140">
        <v>8072061</v>
      </c>
      <c r="H359" s="128"/>
      <c r="I359" s="145"/>
      <c r="J359" s="41"/>
    </row>
    <row r="360" spans="1:10">
      <c r="A360" s="139" t="s">
        <v>916</v>
      </c>
      <c r="B360" s="139" t="s">
        <v>917</v>
      </c>
      <c r="C360" s="139" t="s">
        <v>872</v>
      </c>
      <c r="D360" s="139" t="s">
        <v>169</v>
      </c>
      <c r="E360" s="139" t="s">
        <v>918</v>
      </c>
      <c r="F360" s="127">
        <v>63395462</v>
      </c>
      <c r="G360" s="140">
        <v>63395462</v>
      </c>
      <c r="H360" s="128"/>
      <c r="I360" s="145"/>
      <c r="J360" s="41"/>
    </row>
    <row r="361" spans="1:10">
      <c r="A361" s="139" t="s">
        <v>919</v>
      </c>
      <c r="B361" s="139" t="s">
        <v>920</v>
      </c>
      <c r="C361" s="139" t="s">
        <v>872</v>
      </c>
      <c r="D361" s="139" t="s">
        <v>157</v>
      </c>
      <c r="E361" s="139" t="s">
        <v>100</v>
      </c>
      <c r="F361" s="127">
        <v>0</v>
      </c>
      <c r="G361" s="140">
        <v>0</v>
      </c>
      <c r="H361" s="128"/>
      <c r="I361" s="145"/>
      <c r="J361" s="41"/>
    </row>
    <row r="362" spans="1:10">
      <c r="A362" s="139" t="s">
        <v>921</v>
      </c>
      <c r="B362" s="139" t="s">
        <v>922</v>
      </c>
      <c r="C362" s="139" t="s">
        <v>872</v>
      </c>
      <c r="D362" s="139" t="s">
        <v>157</v>
      </c>
      <c r="E362" s="139" t="s">
        <v>100</v>
      </c>
      <c r="F362" s="127">
        <v>0</v>
      </c>
      <c r="G362" s="140">
        <v>0</v>
      </c>
      <c r="H362" s="128"/>
      <c r="I362" s="145"/>
      <c r="J362" s="41"/>
    </row>
    <row r="363" spans="1:10">
      <c r="A363" s="139" t="s">
        <v>923</v>
      </c>
      <c r="B363" s="139" t="s">
        <v>924</v>
      </c>
      <c r="C363" s="139" t="s">
        <v>872</v>
      </c>
      <c r="D363" s="139" t="s">
        <v>162</v>
      </c>
      <c r="E363" s="139" t="s">
        <v>100</v>
      </c>
      <c r="F363" s="127">
        <v>169385.7</v>
      </c>
      <c r="G363" s="140">
        <v>0</v>
      </c>
      <c r="H363" s="128"/>
      <c r="I363" s="145">
        <v>31630.17</v>
      </c>
      <c r="J363" s="41">
        <f>+F363+I363</f>
        <v>201015.87</v>
      </c>
    </row>
    <row r="364" spans="1:10">
      <c r="A364" s="139" t="s">
        <v>925</v>
      </c>
      <c r="B364" s="139" t="s">
        <v>926</v>
      </c>
      <c r="C364" s="139" t="s">
        <v>872</v>
      </c>
      <c r="D364" s="139" t="s">
        <v>162</v>
      </c>
      <c r="E364" s="139" t="s">
        <v>100</v>
      </c>
      <c r="F364" s="127">
        <v>0</v>
      </c>
      <c r="G364" s="140">
        <v>0</v>
      </c>
      <c r="H364" s="128"/>
      <c r="I364" s="145"/>
      <c r="J364" s="41">
        <f t="shared" si="5"/>
        <v>0</v>
      </c>
    </row>
    <row r="365" spans="1:10">
      <c r="A365" s="139" t="s">
        <v>927</v>
      </c>
      <c r="B365" s="139" t="s">
        <v>928</v>
      </c>
      <c r="C365" s="139" t="s">
        <v>872</v>
      </c>
      <c r="D365" s="139" t="s">
        <v>162</v>
      </c>
      <c r="E365" s="139" t="s">
        <v>100</v>
      </c>
      <c r="F365" s="127">
        <v>0</v>
      </c>
      <c r="G365" s="140">
        <v>0</v>
      </c>
      <c r="H365" s="128"/>
      <c r="I365" s="145"/>
      <c r="J365" s="41">
        <f t="shared" si="5"/>
        <v>0</v>
      </c>
    </row>
    <row r="366" spans="1:10">
      <c r="A366" s="139" t="s">
        <v>929</v>
      </c>
      <c r="B366" s="139" t="s">
        <v>930</v>
      </c>
      <c r="C366" s="139" t="s">
        <v>872</v>
      </c>
      <c r="D366" s="139" t="s">
        <v>162</v>
      </c>
      <c r="E366" s="139" t="s">
        <v>100</v>
      </c>
      <c r="F366" s="127">
        <v>0</v>
      </c>
      <c r="G366" s="140">
        <v>0</v>
      </c>
      <c r="H366" s="128"/>
      <c r="I366" s="145"/>
      <c r="J366" s="41">
        <f t="shared" si="5"/>
        <v>0</v>
      </c>
    </row>
    <row r="367" spans="1:10">
      <c r="A367" s="139" t="s">
        <v>931</v>
      </c>
      <c r="B367" s="139" t="s">
        <v>932</v>
      </c>
      <c r="C367" s="139" t="s">
        <v>872</v>
      </c>
      <c r="D367" s="139" t="s">
        <v>162</v>
      </c>
      <c r="E367" s="139" t="s">
        <v>100</v>
      </c>
      <c r="F367" s="127">
        <v>957739.69</v>
      </c>
      <c r="G367" s="140">
        <v>973687.19</v>
      </c>
      <c r="H367" s="128"/>
      <c r="I367" s="145"/>
      <c r="J367" s="41">
        <f t="shared" si="5"/>
        <v>957739.69</v>
      </c>
    </row>
    <row r="368" spans="1:10">
      <c r="A368" s="139" t="s">
        <v>933</v>
      </c>
      <c r="B368" s="139" t="s">
        <v>934</v>
      </c>
      <c r="C368" s="139" t="s">
        <v>872</v>
      </c>
      <c r="D368" s="139" t="s">
        <v>162</v>
      </c>
      <c r="E368" s="139" t="s">
        <v>100</v>
      </c>
      <c r="F368" s="127">
        <v>0</v>
      </c>
      <c r="G368" s="140">
        <v>0</v>
      </c>
      <c r="H368" s="128"/>
      <c r="I368" s="145"/>
      <c r="J368" s="41">
        <f t="shared" si="5"/>
        <v>0</v>
      </c>
    </row>
    <row r="369" spans="1:10">
      <c r="A369" s="139" t="s">
        <v>935</v>
      </c>
      <c r="B369" s="139" t="s">
        <v>936</v>
      </c>
      <c r="C369" s="139" t="s">
        <v>872</v>
      </c>
      <c r="D369" s="139" t="s">
        <v>162</v>
      </c>
      <c r="E369" s="139" t="s">
        <v>100</v>
      </c>
      <c r="F369" s="127">
        <v>25000</v>
      </c>
      <c r="G369" s="140">
        <v>25000</v>
      </c>
      <c r="H369" s="128"/>
      <c r="I369" s="145"/>
      <c r="J369" s="41">
        <f t="shared" si="5"/>
        <v>25000</v>
      </c>
    </row>
    <row r="370" spans="1:10">
      <c r="A370" s="139" t="s">
        <v>937</v>
      </c>
      <c r="B370" s="139" t="s">
        <v>938</v>
      </c>
      <c r="C370" s="139" t="s">
        <v>872</v>
      </c>
      <c r="D370" s="139" t="s">
        <v>169</v>
      </c>
      <c r="E370" s="139" t="s">
        <v>939</v>
      </c>
      <c r="F370" s="127">
        <v>1152125.3899999999</v>
      </c>
      <c r="G370" s="140">
        <v>998687.19</v>
      </c>
      <c r="H370" s="128"/>
      <c r="I370" s="145"/>
      <c r="J370" s="41"/>
    </row>
    <row r="371" spans="1:10">
      <c r="A371" s="139" t="s">
        <v>940</v>
      </c>
      <c r="B371" s="139" t="s">
        <v>941</v>
      </c>
      <c r="C371" s="139" t="s">
        <v>872</v>
      </c>
      <c r="D371" s="139" t="s">
        <v>157</v>
      </c>
      <c r="E371" s="139" t="s">
        <v>100</v>
      </c>
      <c r="F371" s="127">
        <v>0</v>
      </c>
      <c r="G371" s="140">
        <v>0</v>
      </c>
      <c r="H371" s="128"/>
      <c r="I371" s="145"/>
      <c r="J371" s="41"/>
    </row>
    <row r="372" spans="1:10">
      <c r="A372" s="139" t="s">
        <v>942</v>
      </c>
      <c r="B372" s="139" t="s">
        <v>943</v>
      </c>
      <c r="C372" s="139" t="s">
        <v>872</v>
      </c>
      <c r="D372" s="139" t="s">
        <v>162</v>
      </c>
      <c r="E372" s="139" t="s">
        <v>100</v>
      </c>
      <c r="F372" s="127">
        <v>33500</v>
      </c>
      <c r="G372" s="140">
        <v>30500</v>
      </c>
      <c r="H372" s="128"/>
      <c r="I372" s="145"/>
      <c r="J372" s="41">
        <f t="shared" si="5"/>
        <v>33500</v>
      </c>
    </row>
    <row r="373" spans="1:10">
      <c r="A373" s="139" t="s">
        <v>944</v>
      </c>
      <c r="B373" s="139" t="s">
        <v>945</v>
      </c>
      <c r="C373" s="139" t="s">
        <v>872</v>
      </c>
      <c r="D373" s="139" t="s">
        <v>162</v>
      </c>
      <c r="E373" s="139" t="s">
        <v>100</v>
      </c>
      <c r="F373" s="127">
        <v>20000</v>
      </c>
      <c r="G373" s="140">
        <v>20000</v>
      </c>
      <c r="H373" s="128"/>
      <c r="I373" s="145"/>
      <c r="J373" s="41">
        <f t="shared" si="5"/>
        <v>20000</v>
      </c>
    </row>
    <row r="374" spans="1:10">
      <c r="A374" s="139" t="s">
        <v>946</v>
      </c>
      <c r="B374" s="139" t="s">
        <v>947</v>
      </c>
      <c r="C374" s="139" t="s">
        <v>872</v>
      </c>
      <c r="D374" s="139" t="s">
        <v>162</v>
      </c>
      <c r="E374" s="139" t="s">
        <v>100</v>
      </c>
      <c r="F374" s="127">
        <v>0</v>
      </c>
      <c r="G374" s="140">
        <v>0</v>
      </c>
      <c r="H374" s="128"/>
      <c r="I374" s="145"/>
      <c r="J374" s="41">
        <f t="shared" si="5"/>
        <v>0</v>
      </c>
    </row>
    <row r="375" spans="1:10">
      <c r="A375" s="139" t="s">
        <v>948</v>
      </c>
      <c r="B375" s="139" t="s">
        <v>949</v>
      </c>
      <c r="C375" s="139" t="s">
        <v>872</v>
      </c>
      <c r="D375" s="139" t="s">
        <v>162</v>
      </c>
      <c r="E375" s="139" t="s">
        <v>100</v>
      </c>
      <c r="F375" s="127">
        <v>0</v>
      </c>
      <c r="G375" s="140">
        <v>0</v>
      </c>
      <c r="H375" s="128"/>
      <c r="I375" s="145"/>
      <c r="J375" s="41">
        <f t="shared" si="5"/>
        <v>0</v>
      </c>
    </row>
    <row r="376" spans="1:10">
      <c r="A376" s="139" t="s">
        <v>950</v>
      </c>
      <c r="B376" s="139" t="s">
        <v>951</v>
      </c>
      <c r="C376" s="139" t="s">
        <v>872</v>
      </c>
      <c r="D376" s="139" t="s">
        <v>162</v>
      </c>
      <c r="E376" s="139" t="s">
        <v>100</v>
      </c>
      <c r="F376" s="127">
        <v>600</v>
      </c>
      <c r="G376" s="140">
        <v>600</v>
      </c>
      <c r="H376" s="128"/>
      <c r="I376" s="145"/>
      <c r="J376" s="41">
        <f t="shared" si="5"/>
        <v>600</v>
      </c>
    </row>
    <row r="377" spans="1:10">
      <c r="A377" s="139" t="s">
        <v>952</v>
      </c>
      <c r="B377" s="139" t="s">
        <v>953</v>
      </c>
      <c r="C377" s="139" t="s">
        <v>872</v>
      </c>
      <c r="D377" s="139" t="s">
        <v>169</v>
      </c>
      <c r="E377" s="139" t="s">
        <v>954</v>
      </c>
      <c r="F377" s="127">
        <v>54100</v>
      </c>
      <c r="G377" s="140">
        <v>51100</v>
      </c>
      <c r="H377" s="128"/>
      <c r="I377" s="145"/>
      <c r="J377" s="41"/>
    </row>
    <row r="378" spans="1:10">
      <c r="A378" s="139" t="s">
        <v>955</v>
      </c>
      <c r="B378" s="139" t="s">
        <v>956</v>
      </c>
      <c r="C378" s="139" t="s">
        <v>872</v>
      </c>
      <c r="D378" s="139" t="s">
        <v>157</v>
      </c>
      <c r="E378" s="139" t="s">
        <v>100</v>
      </c>
      <c r="F378" s="127">
        <v>0</v>
      </c>
      <c r="G378" s="140">
        <v>0</v>
      </c>
      <c r="H378" s="128"/>
      <c r="I378" s="145"/>
      <c r="J378" s="41"/>
    </row>
    <row r="379" spans="1:10">
      <c r="A379" s="139" t="s">
        <v>957</v>
      </c>
      <c r="B379" s="139" t="s">
        <v>958</v>
      </c>
      <c r="C379" s="139" t="s">
        <v>872</v>
      </c>
      <c r="D379" s="139" t="s">
        <v>162</v>
      </c>
      <c r="E379" s="139" t="s">
        <v>100</v>
      </c>
      <c r="F379" s="127">
        <v>150797.6</v>
      </c>
      <c r="G379" s="140">
        <v>150797.6</v>
      </c>
      <c r="H379" s="128"/>
      <c r="I379" s="145"/>
      <c r="J379" s="41">
        <f t="shared" si="5"/>
        <v>150797.6</v>
      </c>
    </row>
    <row r="380" spans="1:10">
      <c r="A380" s="139" t="s">
        <v>959</v>
      </c>
      <c r="B380" s="139" t="s">
        <v>960</v>
      </c>
      <c r="C380" s="139" t="s">
        <v>872</v>
      </c>
      <c r="D380" s="139" t="s">
        <v>162</v>
      </c>
      <c r="E380" s="139" t="s">
        <v>100</v>
      </c>
      <c r="F380" s="127">
        <v>253225.87</v>
      </c>
      <c r="G380" s="140">
        <v>-24712.13</v>
      </c>
      <c r="H380" s="128"/>
      <c r="I380" s="145"/>
      <c r="J380" s="41">
        <f t="shared" si="5"/>
        <v>253225.87</v>
      </c>
    </row>
    <row r="381" spans="1:10">
      <c r="A381" s="139" t="s">
        <v>961</v>
      </c>
      <c r="B381" s="139" t="s">
        <v>962</v>
      </c>
      <c r="C381" s="139" t="s">
        <v>872</v>
      </c>
      <c r="D381" s="139" t="s">
        <v>162</v>
      </c>
      <c r="E381" s="139" t="s">
        <v>100</v>
      </c>
      <c r="F381" s="127">
        <v>117364.73</v>
      </c>
      <c r="G381" s="140">
        <v>117364.73</v>
      </c>
      <c r="H381" s="128"/>
      <c r="I381" s="145"/>
      <c r="J381" s="41">
        <f t="shared" si="5"/>
        <v>117364.73</v>
      </c>
    </row>
    <row r="382" spans="1:10">
      <c r="A382" s="139" t="s">
        <v>963</v>
      </c>
      <c r="B382" s="139" t="s">
        <v>964</v>
      </c>
      <c r="C382" s="139" t="s">
        <v>872</v>
      </c>
      <c r="D382" s="139" t="s">
        <v>162</v>
      </c>
      <c r="E382" s="139" t="s">
        <v>100</v>
      </c>
      <c r="F382" s="127">
        <v>0</v>
      </c>
      <c r="G382" s="140">
        <v>0</v>
      </c>
      <c r="H382" s="128"/>
      <c r="I382" s="145"/>
      <c r="J382" s="41">
        <f t="shared" si="5"/>
        <v>0</v>
      </c>
    </row>
    <row r="383" spans="1:10">
      <c r="A383" s="139" t="s">
        <v>965</v>
      </c>
      <c r="B383" s="139" t="s">
        <v>966</v>
      </c>
      <c r="C383" s="139" t="s">
        <v>872</v>
      </c>
      <c r="D383" s="139" t="s">
        <v>169</v>
      </c>
      <c r="E383" s="139" t="s">
        <v>967</v>
      </c>
      <c r="F383" s="127">
        <v>521388.2</v>
      </c>
      <c r="G383" s="140">
        <v>243450.2</v>
      </c>
      <c r="H383" s="128"/>
      <c r="I383" s="145"/>
      <c r="J383" s="41"/>
    </row>
    <row r="384" spans="1:10">
      <c r="A384" s="139" t="s">
        <v>968</v>
      </c>
      <c r="B384" s="139" t="s">
        <v>938</v>
      </c>
      <c r="C384" s="139" t="s">
        <v>872</v>
      </c>
      <c r="D384" s="139" t="s">
        <v>169</v>
      </c>
      <c r="E384" s="139" t="s">
        <v>969</v>
      </c>
      <c r="F384" s="127">
        <v>1727613.59</v>
      </c>
      <c r="G384" s="140">
        <v>1293237.3899999999</v>
      </c>
      <c r="H384" s="128"/>
      <c r="I384" s="145"/>
      <c r="J384" s="41"/>
    </row>
    <row r="385" spans="1:10">
      <c r="A385" s="139" t="s">
        <v>970</v>
      </c>
      <c r="B385" s="139" t="s">
        <v>971</v>
      </c>
      <c r="C385" s="139" t="s">
        <v>872</v>
      </c>
      <c r="D385" s="139" t="s">
        <v>157</v>
      </c>
      <c r="E385" s="139" t="s">
        <v>100</v>
      </c>
      <c r="F385" s="127">
        <v>0</v>
      </c>
      <c r="G385" s="140">
        <v>0</v>
      </c>
      <c r="H385" s="128"/>
      <c r="I385" s="145"/>
      <c r="J385" s="41">
        <f t="shared" si="5"/>
        <v>0</v>
      </c>
    </row>
    <row r="386" spans="1:10">
      <c r="A386" s="139" t="s">
        <v>972</v>
      </c>
      <c r="B386" s="139" t="s">
        <v>973</v>
      </c>
      <c r="C386" s="139" t="s">
        <v>872</v>
      </c>
      <c r="D386" s="139" t="s">
        <v>162</v>
      </c>
      <c r="E386" s="139" t="s">
        <v>100</v>
      </c>
      <c r="F386" s="127">
        <v>6749293.7699999996</v>
      </c>
      <c r="G386" s="140">
        <v>4891608.7300000004</v>
      </c>
      <c r="H386" s="128"/>
      <c r="I386" s="145"/>
      <c r="J386" s="41">
        <f t="shared" si="5"/>
        <v>6749293.7699999996</v>
      </c>
    </row>
    <row r="387" spans="1:10">
      <c r="A387" s="139" t="s">
        <v>974</v>
      </c>
      <c r="B387" s="139" t="s">
        <v>975</v>
      </c>
      <c r="C387" s="139" t="s">
        <v>872</v>
      </c>
      <c r="D387" s="139" t="s">
        <v>162</v>
      </c>
      <c r="E387" s="139" t="s">
        <v>100</v>
      </c>
      <c r="F387" s="127">
        <v>2508.2199999999998</v>
      </c>
      <c r="G387" s="140">
        <v>2964.33</v>
      </c>
      <c r="H387" s="128"/>
      <c r="I387" s="145"/>
      <c r="J387" s="41">
        <f t="shared" si="5"/>
        <v>2508.2199999999998</v>
      </c>
    </row>
    <row r="388" spans="1:10">
      <c r="A388" s="139" t="s">
        <v>976</v>
      </c>
      <c r="B388" s="139" t="s">
        <v>977</v>
      </c>
      <c r="C388" s="139" t="s">
        <v>872</v>
      </c>
      <c r="D388" s="139" t="s">
        <v>162</v>
      </c>
      <c r="E388" s="139" t="s">
        <v>100</v>
      </c>
      <c r="F388" s="127">
        <v>3588.52</v>
      </c>
      <c r="G388" s="140">
        <v>2500</v>
      </c>
      <c r="H388" s="128"/>
      <c r="I388" s="145"/>
      <c r="J388" s="41">
        <f t="shared" si="5"/>
        <v>3588.52</v>
      </c>
    </row>
    <row r="389" spans="1:10">
      <c r="A389" s="139" t="s">
        <v>978</v>
      </c>
      <c r="B389" s="139" t="s">
        <v>979</v>
      </c>
      <c r="C389" s="139" t="s">
        <v>872</v>
      </c>
      <c r="D389" s="139" t="s">
        <v>162</v>
      </c>
      <c r="E389" s="139" t="s">
        <v>100</v>
      </c>
      <c r="F389" s="127">
        <v>0</v>
      </c>
      <c r="G389" s="140">
        <v>0</v>
      </c>
      <c r="H389" s="128"/>
      <c r="I389" s="145"/>
      <c r="J389" s="41">
        <f t="shared" si="5"/>
        <v>0</v>
      </c>
    </row>
    <row r="390" spans="1:10">
      <c r="A390" s="139" t="s">
        <v>980</v>
      </c>
      <c r="B390" s="139" t="s">
        <v>981</v>
      </c>
      <c r="C390" s="139" t="s">
        <v>872</v>
      </c>
      <c r="D390" s="139" t="s">
        <v>162</v>
      </c>
      <c r="E390" s="139" t="s">
        <v>100</v>
      </c>
      <c r="F390" s="127">
        <v>-31048.68</v>
      </c>
      <c r="G390" s="140">
        <v>-4198.05</v>
      </c>
      <c r="H390" s="128"/>
      <c r="I390" s="145"/>
      <c r="J390" s="41">
        <f t="shared" si="5"/>
        <v>-31048.68</v>
      </c>
    </row>
    <row r="391" spans="1:10">
      <c r="A391" s="139" t="s">
        <v>982</v>
      </c>
      <c r="B391" s="139" t="s">
        <v>983</v>
      </c>
      <c r="C391" s="139" t="s">
        <v>872</v>
      </c>
      <c r="D391" s="139" t="s">
        <v>162</v>
      </c>
      <c r="E391" s="139" t="s">
        <v>100</v>
      </c>
      <c r="F391" s="127">
        <v>13465.6</v>
      </c>
      <c r="G391" s="140">
        <v>77427.199999999997</v>
      </c>
      <c r="H391" s="128"/>
      <c r="I391" s="145"/>
      <c r="J391" s="41">
        <f t="shared" si="5"/>
        <v>13465.6</v>
      </c>
    </row>
    <row r="392" spans="1:10">
      <c r="A392" s="139" t="s">
        <v>984</v>
      </c>
      <c r="B392" s="139" t="s">
        <v>985</v>
      </c>
      <c r="C392" s="139" t="s">
        <v>872</v>
      </c>
      <c r="D392" s="139" t="s">
        <v>162</v>
      </c>
      <c r="E392" s="139" t="s">
        <v>100</v>
      </c>
      <c r="F392" s="127">
        <v>10716.03</v>
      </c>
      <c r="G392" s="140">
        <v>1200</v>
      </c>
      <c r="H392" s="128"/>
      <c r="I392" s="145"/>
      <c r="J392" s="41">
        <f t="shared" si="5"/>
        <v>10716.03</v>
      </c>
    </row>
    <row r="393" spans="1:10">
      <c r="A393" s="139" t="s">
        <v>986</v>
      </c>
      <c r="B393" s="139" t="s">
        <v>987</v>
      </c>
      <c r="C393" s="139" t="s">
        <v>872</v>
      </c>
      <c r="D393" s="139" t="s">
        <v>162</v>
      </c>
      <c r="E393" s="139" t="s">
        <v>100</v>
      </c>
      <c r="F393" s="127">
        <v>4485</v>
      </c>
      <c r="G393" s="140">
        <v>2819.5</v>
      </c>
      <c r="H393" s="128"/>
      <c r="I393" s="145"/>
      <c r="J393" s="41">
        <f t="shared" si="5"/>
        <v>4485</v>
      </c>
    </row>
    <row r="394" spans="1:10">
      <c r="A394" s="139" t="s">
        <v>988</v>
      </c>
      <c r="B394" s="139" t="s">
        <v>989</v>
      </c>
      <c r="C394" s="139" t="s">
        <v>872</v>
      </c>
      <c r="D394" s="139" t="s">
        <v>162</v>
      </c>
      <c r="E394" s="139" t="s">
        <v>100</v>
      </c>
      <c r="F394" s="127">
        <v>974.11</v>
      </c>
      <c r="G394" s="140">
        <v>2744.11</v>
      </c>
      <c r="H394" s="128"/>
      <c r="I394" s="145"/>
      <c r="J394" s="41">
        <f t="shared" si="5"/>
        <v>974.11</v>
      </c>
    </row>
    <row r="395" spans="1:10">
      <c r="A395" s="139" t="s">
        <v>990</v>
      </c>
      <c r="B395" s="139" t="s">
        <v>991</v>
      </c>
      <c r="C395" s="139" t="s">
        <v>872</v>
      </c>
      <c r="D395" s="139" t="s">
        <v>162</v>
      </c>
      <c r="E395" s="139" t="s">
        <v>100</v>
      </c>
      <c r="F395" s="127">
        <v>10363.26</v>
      </c>
      <c r="G395" s="140">
        <v>4127</v>
      </c>
      <c r="H395" s="128"/>
      <c r="I395" s="145"/>
      <c r="J395" s="41">
        <f t="shared" si="5"/>
        <v>10363.26</v>
      </c>
    </row>
    <row r="396" spans="1:10">
      <c r="A396" s="139" t="s">
        <v>992</v>
      </c>
      <c r="B396" s="139" t="s">
        <v>993</v>
      </c>
      <c r="C396" s="139" t="s">
        <v>872</v>
      </c>
      <c r="D396" s="139" t="s">
        <v>162</v>
      </c>
      <c r="E396" s="139" t="s">
        <v>100</v>
      </c>
      <c r="F396" s="127">
        <v>0</v>
      </c>
      <c r="G396" s="140">
        <v>0</v>
      </c>
      <c r="H396" s="128"/>
      <c r="I396" s="145"/>
      <c r="J396" s="41">
        <f t="shared" si="5"/>
        <v>0</v>
      </c>
    </row>
    <row r="397" spans="1:10">
      <c r="A397" s="139" t="s">
        <v>994</v>
      </c>
      <c r="B397" s="139" t="s">
        <v>995</v>
      </c>
      <c r="C397" s="139" t="s">
        <v>872</v>
      </c>
      <c r="D397" s="139" t="s">
        <v>162</v>
      </c>
      <c r="E397" s="139" t="s">
        <v>100</v>
      </c>
      <c r="F397" s="127">
        <v>0</v>
      </c>
      <c r="G397" s="140">
        <v>0</v>
      </c>
      <c r="H397" s="128"/>
      <c r="I397" s="145"/>
      <c r="J397" s="41">
        <f t="shared" si="5"/>
        <v>0</v>
      </c>
    </row>
    <row r="398" spans="1:10">
      <c r="A398" s="139" t="s">
        <v>996</v>
      </c>
      <c r="B398" s="139" t="s">
        <v>997</v>
      </c>
      <c r="C398" s="139" t="s">
        <v>872</v>
      </c>
      <c r="D398" s="139" t="s">
        <v>162</v>
      </c>
      <c r="E398" s="139" t="s">
        <v>100</v>
      </c>
      <c r="F398" s="127">
        <v>978.75</v>
      </c>
      <c r="G398" s="140">
        <v>978.75</v>
      </c>
      <c r="H398" s="128"/>
      <c r="I398" s="145"/>
      <c r="J398" s="41">
        <f t="shared" si="5"/>
        <v>978.75</v>
      </c>
    </row>
    <row r="399" spans="1:10">
      <c r="A399" s="139" t="s">
        <v>998</v>
      </c>
      <c r="B399" s="139" t="s">
        <v>999</v>
      </c>
      <c r="C399" s="139" t="s">
        <v>872</v>
      </c>
      <c r="D399" s="139" t="s">
        <v>162</v>
      </c>
      <c r="E399" s="139" t="s">
        <v>100</v>
      </c>
      <c r="F399" s="127">
        <v>13038.62</v>
      </c>
      <c r="G399" s="140">
        <v>9045</v>
      </c>
      <c r="H399" s="128"/>
      <c r="I399" s="145"/>
      <c r="J399" s="41">
        <f t="shared" si="5"/>
        <v>13038.62</v>
      </c>
    </row>
    <row r="400" spans="1:10">
      <c r="A400" s="139" t="s">
        <v>1000</v>
      </c>
      <c r="B400" s="139" t="s">
        <v>1001</v>
      </c>
      <c r="C400" s="139" t="s">
        <v>872</v>
      </c>
      <c r="D400" s="139" t="s">
        <v>162</v>
      </c>
      <c r="E400" s="139" t="s">
        <v>100</v>
      </c>
      <c r="F400" s="127">
        <v>4079.87</v>
      </c>
      <c r="G400" s="140">
        <v>4079.87</v>
      </c>
      <c r="H400" s="128"/>
      <c r="I400" s="145"/>
      <c r="J400" s="41">
        <f t="shared" si="5"/>
        <v>4079.87</v>
      </c>
    </row>
    <row r="401" spans="1:11">
      <c r="A401" s="139" t="s">
        <v>1002</v>
      </c>
      <c r="B401" s="139" t="s">
        <v>1003</v>
      </c>
      <c r="C401" s="139" t="s">
        <v>872</v>
      </c>
      <c r="D401" s="139" t="s">
        <v>169</v>
      </c>
      <c r="E401" s="139" t="s">
        <v>1004</v>
      </c>
      <c r="F401" s="127">
        <v>6782443.0700000003</v>
      </c>
      <c r="G401" s="140">
        <v>4995296.4400000004</v>
      </c>
      <c r="H401" s="128"/>
      <c r="I401" s="145"/>
      <c r="J401" s="41"/>
    </row>
    <row r="402" spans="1:11">
      <c r="A402" s="139" t="s">
        <v>1005</v>
      </c>
      <c r="B402" s="139" t="s">
        <v>1006</v>
      </c>
      <c r="C402" s="139" t="s">
        <v>872</v>
      </c>
      <c r="D402" s="139" t="s">
        <v>169</v>
      </c>
      <c r="E402" s="139" t="s">
        <v>1007</v>
      </c>
      <c r="F402" s="127">
        <v>71905518.659999996</v>
      </c>
      <c r="G402" s="140">
        <v>69683995.829999998</v>
      </c>
      <c r="H402" s="128"/>
      <c r="I402" s="145"/>
      <c r="J402" s="41"/>
      <c r="K402" s="3">
        <f>SUM(J342:J400)</f>
        <v>71937148.829999983</v>
      </c>
    </row>
    <row r="403" spans="1:11">
      <c r="A403" s="139" t="s">
        <v>1008</v>
      </c>
      <c r="B403" s="139" t="s">
        <v>1009</v>
      </c>
      <c r="C403" s="139" t="s">
        <v>872</v>
      </c>
      <c r="D403" s="139" t="s">
        <v>157</v>
      </c>
      <c r="E403" s="139" t="s">
        <v>100</v>
      </c>
      <c r="F403" s="129">
        <v>0</v>
      </c>
      <c r="G403" s="140">
        <v>0</v>
      </c>
      <c r="H403" s="72"/>
      <c r="I403" s="146"/>
      <c r="J403" s="130"/>
    </row>
    <row r="404" spans="1:11">
      <c r="A404" s="139" t="s">
        <v>1010</v>
      </c>
      <c r="B404" s="139" t="s">
        <v>1011</v>
      </c>
      <c r="C404" s="139" t="s">
        <v>872</v>
      </c>
      <c r="D404" s="139" t="s">
        <v>157</v>
      </c>
      <c r="E404" s="139" t="s">
        <v>100</v>
      </c>
      <c r="F404" s="129">
        <v>0</v>
      </c>
      <c r="G404" s="140">
        <v>0</v>
      </c>
      <c r="H404" s="72"/>
      <c r="I404" s="146"/>
      <c r="J404" s="130"/>
    </row>
    <row r="405" spans="1:11">
      <c r="A405" s="139" t="s">
        <v>1012</v>
      </c>
      <c r="B405" s="139" t="s">
        <v>1013</v>
      </c>
      <c r="C405" s="139" t="s">
        <v>872</v>
      </c>
      <c r="D405" s="139" t="s">
        <v>157</v>
      </c>
      <c r="E405" s="139" t="s">
        <v>100</v>
      </c>
      <c r="F405" s="129">
        <v>0</v>
      </c>
      <c r="G405" s="140">
        <v>0</v>
      </c>
      <c r="H405" s="72"/>
      <c r="I405" s="146"/>
      <c r="J405" s="130"/>
    </row>
    <row r="406" spans="1:11">
      <c r="A406" s="139" t="s">
        <v>1014</v>
      </c>
      <c r="B406" s="139" t="s">
        <v>1015</v>
      </c>
      <c r="C406" s="139" t="s">
        <v>872</v>
      </c>
      <c r="D406" s="139" t="s">
        <v>162</v>
      </c>
      <c r="E406" s="139" t="s">
        <v>100</v>
      </c>
      <c r="F406" s="129">
        <v>-25207944.719999999</v>
      </c>
      <c r="G406" s="140">
        <v>-25207944.719999999</v>
      </c>
      <c r="H406" s="72"/>
      <c r="I406" s="146"/>
      <c r="J406" s="130">
        <f>+F406</f>
        <v>-25207944.719999999</v>
      </c>
    </row>
    <row r="407" spans="1:11">
      <c r="A407" s="139" t="s">
        <v>1016</v>
      </c>
      <c r="B407" s="139" t="s">
        <v>106</v>
      </c>
      <c r="C407" s="139" t="s">
        <v>872</v>
      </c>
      <c r="D407" s="139" t="s">
        <v>598</v>
      </c>
      <c r="E407" s="139" t="s">
        <v>869</v>
      </c>
      <c r="F407" s="129">
        <v>705232.85</v>
      </c>
      <c r="G407" s="140">
        <v>2330871.6800000002</v>
      </c>
      <c r="H407" s="72"/>
      <c r="I407" s="146"/>
      <c r="J407" s="130">
        <f t="shared" ref="J407:J470" si="6">+F407</f>
        <v>705232.85</v>
      </c>
    </row>
    <row r="408" spans="1:11">
      <c r="A408" s="139" t="s">
        <v>1017</v>
      </c>
      <c r="B408" s="139" t="s">
        <v>1018</v>
      </c>
      <c r="C408" s="139" t="s">
        <v>872</v>
      </c>
      <c r="D408" s="139" t="s">
        <v>162</v>
      </c>
      <c r="E408" s="139" t="s">
        <v>100</v>
      </c>
      <c r="F408" s="129">
        <v>-3131550</v>
      </c>
      <c r="G408" s="140">
        <v>-3131550</v>
      </c>
      <c r="H408" s="72"/>
      <c r="I408" s="146"/>
      <c r="J408" s="130">
        <f t="shared" si="6"/>
        <v>-3131550</v>
      </c>
    </row>
    <row r="409" spans="1:11">
      <c r="A409" s="139" t="s">
        <v>1019</v>
      </c>
      <c r="B409" s="139" t="s">
        <v>1020</v>
      </c>
      <c r="C409" s="139" t="s">
        <v>872</v>
      </c>
      <c r="D409" s="139" t="s">
        <v>162</v>
      </c>
      <c r="E409" s="139" t="s">
        <v>100</v>
      </c>
      <c r="F409" s="129">
        <v>703434.84</v>
      </c>
      <c r="G409" s="140">
        <v>703434.84</v>
      </c>
      <c r="H409" s="72"/>
      <c r="I409" s="146"/>
      <c r="J409" s="130">
        <f t="shared" si="6"/>
        <v>703434.84</v>
      </c>
    </row>
    <row r="410" spans="1:11">
      <c r="A410" s="139" t="s">
        <v>1021</v>
      </c>
      <c r="B410" s="139" t="s">
        <v>1022</v>
      </c>
      <c r="C410" s="139" t="s">
        <v>872</v>
      </c>
      <c r="D410" s="139" t="s">
        <v>162</v>
      </c>
      <c r="E410" s="139" t="s">
        <v>100</v>
      </c>
      <c r="F410" s="129">
        <v>-20729346.149999999</v>
      </c>
      <c r="G410" s="140">
        <v>-20729346.149999999</v>
      </c>
      <c r="H410" s="72"/>
      <c r="I410" s="146"/>
      <c r="J410" s="130">
        <f t="shared" si="6"/>
        <v>-20729346.149999999</v>
      </c>
    </row>
    <row r="411" spans="1:11">
      <c r="A411" s="139" t="s">
        <v>1023</v>
      </c>
      <c r="B411" s="139" t="s">
        <v>1024</v>
      </c>
      <c r="C411" s="139" t="s">
        <v>872</v>
      </c>
      <c r="D411" s="139" t="s">
        <v>162</v>
      </c>
      <c r="E411" s="139" t="s">
        <v>100</v>
      </c>
      <c r="F411" s="129">
        <v>-553576</v>
      </c>
      <c r="G411" s="140">
        <v>-553576</v>
      </c>
      <c r="H411" s="72"/>
      <c r="I411" s="146"/>
      <c r="J411" s="130">
        <f t="shared" si="6"/>
        <v>-553576</v>
      </c>
    </row>
    <row r="412" spans="1:11">
      <c r="A412" s="139" t="s">
        <v>1025</v>
      </c>
      <c r="B412" s="139" t="s">
        <v>1026</v>
      </c>
      <c r="C412" s="139" t="s">
        <v>872</v>
      </c>
      <c r="D412" s="139" t="s">
        <v>169</v>
      </c>
      <c r="E412" s="139" t="s">
        <v>1027</v>
      </c>
      <c r="F412" s="129">
        <v>-48918982.030000001</v>
      </c>
      <c r="G412" s="140">
        <v>-48918982.030000001</v>
      </c>
      <c r="H412" s="72"/>
      <c r="I412" s="146"/>
      <c r="J412" s="130"/>
    </row>
    <row r="413" spans="1:11">
      <c r="A413" s="139" t="s">
        <v>1028</v>
      </c>
      <c r="B413" s="139" t="s">
        <v>1029</v>
      </c>
      <c r="C413" s="139" t="s">
        <v>872</v>
      </c>
      <c r="D413" s="139" t="s">
        <v>157</v>
      </c>
      <c r="E413" s="139" t="s">
        <v>100</v>
      </c>
      <c r="F413" s="129">
        <v>0</v>
      </c>
      <c r="G413" s="140">
        <v>0</v>
      </c>
      <c r="H413" s="72"/>
      <c r="I413" s="146"/>
      <c r="J413" s="130"/>
    </row>
    <row r="414" spans="1:11">
      <c r="A414" s="139" t="s">
        <v>1030</v>
      </c>
      <c r="B414" s="139" t="s">
        <v>1031</v>
      </c>
      <c r="C414" s="139" t="s">
        <v>872</v>
      </c>
      <c r="D414" s="139" t="s">
        <v>162</v>
      </c>
      <c r="E414" s="139" t="s">
        <v>100</v>
      </c>
      <c r="F414" s="129">
        <v>-14423019.25</v>
      </c>
      <c r="G414" s="140">
        <v>-14423019.25</v>
      </c>
      <c r="H414" s="72"/>
      <c r="I414" s="146"/>
      <c r="J414" s="130">
        <f t="shared" si="6"/>
        <v>-14423019.25</v>
      </c>
    </row>
    <row r="415" spans="1:11">
      <c r="A415" s="139" t="s">
        <v>1032</v>
      </c>
      <c r="B415" s="139" t="s">
        <v>1033</v>
      </c>
      <c r="C415" s="139" t="s">
        <v>872</v>
      </c>
      <c r="D415" s="139" t="s">
        <v>162</v>
      </c>
      <c r="E415" s="139" t="s">
        <v>100</v>
      </c>
      <c r="F415" s="129">
        <v>-54335</v>
      </c>
      <c r="G415" s="140">
        <v>-54335</v>
      </c>
      <c r="H415" s="72"/>
      <c r="I415" s="146"/>
      <c r="J415" s="130">
        <f t="shared" si="6"/>
        <v>-54335</v>
      </c>
    </row>
    <row r="416" spans="1:11">
      <c r="A416" s="139" t="s">
        <v>1034</v>
      </c>
      <c r="B416" s="139" t="s">
        <v>1035</v>
      </c>
      <c r="C416" s="139" t="s">
        <v>872</v>
      </c>
      <c r="D416" s="139" t="s">
        <v>162</v>
      </c>
      <c r="E416" s="139" t="s">
        <v>100</v>
      </c>
      <c r="F416" s="129">
        <v>568602</v>
      </c>
      <c r="G416" s="140">
        <v>568602</v>
      </c>
      <c r="H416" s="72"/>
      <c r="I416" s="146"/>
      <c r="J416" s="130">
        <f t="shared" si="6"/>
        <v>568602</v>
      </c>
    </row>
    <row r="417" spans="1:10">
      <c r="A417" s="139" t="s">
        <v>1036</v>
      </c>
      <c r="B417" s="139" t="s">
        <v>1037</v>
      </c>
      <c r="C417" s="139" t="s">
        <v>872</v>
      </c>
      <c r="D417" s="139" t="s">
        <v>162</v>
      </c>
      <c r="E417" s="139" t="s">
        <v>100</v>
      </c>
      <c r="F417" s="129">
        <v>6950278</v>
      </c>
      <c r="G417" s="140">
        <v>7042278</v>
      </c>
      <c r="H417" s="72"/>
      <c r="I417" s="146"/>
      <c r="J417" s="130">
        <f t="shared" si="6"/>
        <v>6950278</v>
      </c>
    </row>
    <row r="418" spans="1:10">
      <c r="A418" s="139" t="s">
        <v>1038</v>
      </c>
      <c r="B418" s="139" t="s">
        <v>440</v>
      </c>
      <c r="C418" s="139" t="s">
        <v>872</v>
      </c>
      <c r="D418" s="139" t="s">
        <v>162</v>
      </c>
      <c r="E418" s="139" t="s">
        <v>100</v>
      </c>
      <c r="F418" s="129">
        <v>12000</v>
      </c>
      <c r="G418" s="140">
        <v>12000</v>
      </c>
      <c r="H418" s="72"/>
      <c r="I418" s="146"/>
      <c r="J418" s="130">
        <f t="shared" si="6"/>
        <v>12000</v>
      </c>
    </row>
    <row r="419" spans="1:10">
      <c r="A419" s="139" t="s">
        <v>1039</v>
      </c>
      <c r="B419" s="139" t="s">
        <v>1040</v>
      </c>
      <c r="C419" s="139" t="s">
        <v>872</v>
      </c>
      <c r="D419" s="139" t="s">
        <v>169</v>
      </c>
      <c r="E419" s="139" t="s">
        <v>1041</v>
      </c>
      <c r="F419" s="129">
        <v>-6946474.25</v>
      </c>
      <c r="G419" s="140">
        <v>-6854474.25</v>
      </c>
      <c r="H419" s="72"/>
      <c r="I419" s="146"/>
      <c r="J419" s="130"/>
    </row>
    <row r="420" spans="1:10">
      <c r="A420" s="139" t="s">
        <v>1042</v>
      </c>
      <c r="B420" s="139" t="s">
        <v>1043</v>
      </c>
      <c r="C420" s="139" t="s">
        <v>872</v>
      </c>
      <c r="D420" s="139" t="s">
        <v>157</v>
      </c>
      <c r="E420" s="139" t="s">
        <v>100</v>
      </c>
      <c r="F420" s="129">
        <v>0</v>
      </c>
      <c r="G420" s="140">
        <v>0</v>
      </c>
      <c r="H420" s="72"/>
      <c r="I420" s="146"/>
      <c r="J420" s="130"/>
    </row>
    <row r="421" spans="1:10">
      <c r="A421" s="139" t="s">
        <v>1044</v>
      </c>
      <c r="B421" s="139" t="s">
        <v>1045</v>
      </c>
      <c r="C421" s="139" t="s">
        <v>872</v>
      </c>
      <c r="D421" s="139" t="s">
        <v>162</v>
      </c>
      <c r="E421" s="139" t="s">
        <v>100</v>
      </c>
      <c r="F421" s="129">
        <v>0</v>
      </c>
      <c r="G421" s="140">
        <v>0</v>
      </c>
      <c r="H421" s="72"/>
      <c r="I421" s="146"/>
      <c r="J421" s="130">
        <f t="shared" si="6"/>
        <v>0</v>
      </c>
    </row>
    <row r="422" spans="1:10">
      <c r="A422" s="139" t="s">
        <v>1046</v>
      </c>
      <c r="B422" s="139" t="s">
        <v>1047</v>
      </c>
      <c r="C422" s="139" t="s">
        <v>872</v>
      </c>
      <c r="D422" s="139" t="s">
        <v>162</v>
      </c>
      <c r="E422" s="139" t="s">
        <v>100</v>
      </c>
      <c r="F422" s="129">
        <v>0</v>
      </c>
      <c r="G422" s="140">
        <v>0</v>
      </c>
      <c r="H422" s="72"/>
      <c r="I422" s="146"/>
      <c r="J422" s="130">
        <f t="shared" si="6"/>
        <v>0</v>
      </c>
    </row>
    <row r="423" spans="1:10">
      <c r="A423" s="139" t="s">
        <v>1048</v>
      </c>
      <c r="B423" s="139" t="s">
        <v>1049</v>
      </c>
      <c r="C423" s="139" t="s">
        <v>872</v>
      </c>
      <c r="D423" s="139" t="s">
        <v>162</v>
      </c>
      <c r="E423" s="139" t="s">
        <v>100</v>
      </c>
      <c r="F423" s="129">
        <v>0</v>
      </c>
      <c r="G423" s="140">
        <v>0</v>
      </c>
      <c r="H423" s="72"/>
      <c r="I423" s="146"/>
      <c r="J423" s="130">
        <f t="shared" si="6"/>
        <v>0</v>
      </c>
    </row>
    <row r="424" spans="1:10">
      <c r="A424" s="139" t="s">
        <v>1050</v>
      </c>
      <c r="B424" s="139" t="s">
        <v>1051</v>
      </c>
      <c r="C424" s="139" t="s">
        <v>872</v>
      </c>
      <c r="D424" s="139" t="s">
        <v>162</v>
      </c>
      <c r="E424" s="139" t="s">
        <v>100</v>
      </c>
      <c r="F424" s="129">
        <v>0</v>
      </c>
      <c r="G424" s="140">
        <v>0</v>
      </c>
      <c r="H424" s="72"/>
      <c r="I424" s="146"/>
      <c r="J424" s="130">
        <f t="shared" si="6"/>
        <v>0</v>
      </c>
    </row>
    <row r="425" spans="1:10">
      <c r="A425" s="139" t="s">
        <v>1052</v>
      </c>
      <c r="B425" s="139" t="s">
        <v>1053</v>
      </c>
      <c r="C425" s="139" t="s">
        <v>872</v>
      </c>
      <c r="D425" s="139" t="s">
        <v>162</v>
      </c>
      <c r="E425" s="139" t="s">
        <v>100</v>
      </c>
      <c r="F425" s="129">
        <v>0</v>
      </c>
      <c r="G425" s="140">
        <v>0</v>
      </c>
      <c r="H425" s="72"/>
      <c r="I425" s="146"/>
      <c r="J425" s="130">
        <f t="shared" si="6"/>
        <v>0</v>
      </c>
    </row>
    <row r="426" spans="1:10">
      <c r="A426" s="139" t="s">
        <v>1054</v>
      </c>
      <c r="B426" s="139" t="s">
        <v>1055</v>
      </c>
      <c r="C426" s="139" t="s">
        <v>872</v>
      </c>
      <c r="D426" s="139" t="s">
        <v>162</v>
      </c>
      <c r="E426" s="139" t="s">
        <v>100</v>
      </c>
      <c r="F426" s="129">
        <v>-4555184.18</v>
      </c>
      <c r="G426" s="140">
        <v>-4631061.95</v>
      </c>
      <c r="H426" s="72"/>
      <c r="I426" s="146"/>
      <c r="J426" s="130">
        <f t="shared" si="6"/>
        <v>-4555184.18</v>
      </c>
    </row>
    <row r="427" spans="1:10">
      <c r="A427" s="139" t="s">
        <v>1056</v>
      </c>
      <c r="B427" s="139" t="s">
        <v>1057</v>
      </c>
      <c r="C427" s="139" t="s">
        <v>872</v>
      </c>
      <c r="D427" s="139" t="s">
        <v>157</v>
      </c>
      <c r="E427" s="139" t="s">
        <v>100</v>
      </c>
      <c r="F427" s="129">
        <v>0</v>
      </c>
      <c r="G427" s="140">
        <v>0</v>
      </c>
      <c r="H427" s="72"/>
      <c r="I427" s="146"/>
      <c r="J427" s="130">
        <f t="shared" si="6"/>
        <v>0</v>
      </c>
    </row>
    <row r="428" spans="1:10">
      <c r="A428" s="139" t="s">
        <v>1058</v>
      </c>
      <c r="B428" s="139" t="s">
        <v>1031</v>
      </c>
      <c r="C428" s="139" t="s">
        <v>872</v>
      </c>
      <c r="D428" s="139" t="s">
        <v>162</v>
      </c>
      <c r="E428" s="139" t="s">
        <v>100</v>
      </c>
      <c r="F428" s="129">
        <v>-542200.19999999995</v>
      </c>
      <c r="G428" s="140">
        <v>-542200.19999999995</v>
      </c>
      <c r="H428" s="72"/>
      <c r="I428" s="146"/>
      <c r="J428" s="130">
        <f t="shared" si="6"/>
        <v>-542200.19999999995</v>
      </c>
    </row>
    <row r="429" spans="1:10">
      <c r="A429" s="139" t="s">
        <v>1059</v>
      </c>
      <c r="B429" s="139" t="s">
        <v>1060</v>
      </c>
      <c r="C429" s="139" t="s">
        <v>872</v>
      </c>
      <c r="D429" s="139" t="s">
        <v>162</v>
      </c>
      <c r="E429" s="139" t="s">
        <v>100</v>
      </c>
      <c r="F429" s="129">
        <v>0</v>
      </c>
      <c r="G429" s="140">
        <v>0</v>
      </c>
      <c r="H429" s="72"/>
      <c r="I429" s="146"/>
      <c r="J429" s="130">
        <f t="shared" si="6"/>
        <v>0</v>
      </c>
    </row>
    <row r="430" spans="1:10">
      <c r="A430" s="139" t="s">
        <v>1061</v>
      </c>
      <c r="B430" s="139" t="s">
        <v>1062</v>
      </c>
      <c r="C430" s="139" t="s">
        <v>872</v>
      </c>
      <c r="D430" s="139" t="s">
        <v>162</v>
      </c>
      <c r="E430" s="139" t="s">
        <v>100</v>
      </c>
      <c r="F430" s="129">
        <v>0</v>
      </c>
      <c r="G430" s="140">
        <v>1530.9</v>
      </c>
      <c r="H430" s="72"/>
      <c r="I430" s="146"/>
      <c r="J430" s="130">
        <f t="shared" si="6"/>
        <v>0</v>
      </c>
    </row>
    <row r="431" spans="1:10">
      <c r="A431" s="139" t="s">
        <v>1063</v>
      </c>
      <c r="B431" s="139" t="s">
        <v>1064</v>
      </c>
      <c r="C431" s="139" t="s">
        <v>872</v>
      </c>
      <c r="D431" s="139" t="s">
        <v>169</v>
      </c>
      <c r="E431" s="139" t="s">
        <v>1065</v>
      </c>
      <c r="F431" s="129">
        <v>-542200.19999999995</v>
      </c>
      <c r="G431" s="140">
        <v>-540669.30000000005</v>
      </c>
      <c r="H431" s="72"/>
      <c r="I431" s="146"/>
      <c r="J431" s="130"/>
    </row>
    <row r="432" spans="1:10">
      <c r="A432" s="139" t="s">
        <v>1066</v>
      </c>
      <c r="B432" s="139" t="s">
        <v>1067</v>
      </c>
      <c r="C432" s="139" t="s">
        <v>872</v>
      </c>
      <c r="D432" s="139" t="s">
        <v>169</v>
      </c>
      <c r="E432" s="139" t="s">
        <v>1068</v>
      </c>
      <c r="F432" s="129">
        <v>-5097384.38</v>
      </c>
      <c r="G432" s="140">
        <v>-5171731.25</v>
      </c>
      <c r="H432" s="72"/>
      <c r="I432" s="146"/>
      <c r="J432" s="130"/>
    </row>
    <row r="433" spans="1:10">
      <c r="A433" s="139" t="s">
        <v>1069</v>
      </c>
      <c r="B433" s="139" t="s">
        <v>1070</v>
      </c>
      <c r="C433" s="139" t="s">
        <v>872</v>
      </c>
      <c r="D433" s="139" t="s">
        <v>169</v>
      </c>
      <c r="E433" s="139" t="s">
        <v>1071</v>
      </c>
      <c r="F433" s="129">
        <v>-60962840.659999996</v>
      </c>
      <c r="G433" s="140">
        <v>-60945187.530000001</v>
      </c>
      <c r="H433" s="72"/>
      <c r="I433" s="146"/>
      <c r="J433" s="130"/>
    </row>
    <row r="434" spans="1:10">
      <c r="A434" s="139" t="s">
        <v>1072</v>
      </c>
      <c r="B434" s="139" t="s">
        <v>1073</v>
      </c>
      <c r="C434" s="139" t="s">
        <v>872</v>
      </c>
      <c r="D434" s="139" t="s">
        <v>157</v>
      </c>
      <c r="E434" s="139" t="s">
        <v>100</v>
      </c>
      <c r="F434" s="129">
        <v>0</v>
      </c>
      <c r="G434" s="140">
        <v>0</v>
      </c>
      <c r="H434" s="72"/>
      <c r="I434" s="146"/>
      <c r="J434" s="130">
        <f t="shared" si="6"/>
        <v>0</v>
      </c>
    </row>
    <row r="435" spans="1:10">
      <c r="A435" s="139" t="s">
        <v>1074</v>
      </c>
      <c r="B435" s="139" t="s">
        <v>1075</v>
      </c>
      <c r="C435" s="139" t="s">
        <v>872</v>
      </c>
      <c r="D435" s="139" t="s">
        <v>162</v>
      </c>
      <c r="E435" s="139" t="s">
        <v>100</v>
      </c>
      <c r="F435" s="129">
        <v>0</v>
      </c>
      <c r="G435" s="140">
        <v>0</v>
      </c>
      <c r="H435" s="72"/>
      <c r="I435" s="146"/>
      <c r="J435" s="130">
        <f t="shared" si="6"/>
        <v>0</v>
      </c>
    </row>
    <row r="436" spans="1:10">
      <c r="A436" s="139" t="s">
        <v>1076</v>
      </c>
      <c r="B436" s="139" t="s">
        <v>1077</v>
      </c>
      <c r="C436" s="139" t="s">
        <v>872</v>
      </c>
      <c r="D436" s="139" t="s">
        <v>162</v>
      </c>
      <c r="E436" s="139" t="s">
        <v>100</v>
      </c>
      <c r="F436" s="129">
        <v>0</v>
      </c>
      <c r="G436" s="140">
        <v>0</v>
      </c>
      <c r="H436" s="72"/>
      <c r="I436" s="146"/>
      <c r="J436" s="130">
        <f t="shared" si="6"/>
        <v>0</v>
      </c>
    </row>
    <row r="437" spans="1:10">
      <c r="A437" s="139" t="s">
        <v>1078</v>
      </c>
      <c r="B437" s="139" t="s">
        <v>1079</v>
      </c>
      <c r="C437" s="139" t="s">
        <v>872</v>
      </c>
      <c r="D437" s="139" t="s">
        <v>162</v>
      </c>
      <c r="E437" s="139" t="s">
        <v>100</v>
      </c>
      <c r="F437" s="129">
        <v>-8363343.4699999997</v>
      </c>
      <c r="G437" s="140">
        <v>-8312165.96</v>
      </c>
      <c r="H437" s="72"/>
      <c r="I437" s="146"/>
      <c r="J437" s="130">
        <f t="shared" si="6"/>
        <v>-8363343.4699999997</v>
      </c>
    </row>
    <row r="438" spans="1:10">
      <c r="A438" s="139" t="s">
        <v>1080</v>
      </c>
      <c r="B438" s="139" t="s">
        <v>1081</v>
      </c>
      <c r="C438" s="139" t="s">
        <v>872</v>
      </c>
      <c r="D438" s="139" t="s">
        <v>169</v>
      </c>
      <c r="E438" s="139" t="s">
        <v>1082</v>
      </c>
      <c r="F438" s="129">
        <v>-8363343.4699999997</v>
      </c>
      <c r="G438" s="140">
        <v>-8312165.96</v>
      </c>
      <c r="H438" s="72"/>
      <c r="I438" s="146"/>
      <c r="J438" s="130"/>
    </row>
    <row r="439" spans="1:10">
      <c r="A439" s="139" t="s">
        <v>1083</v>
      </c>
      <c r="B439" s="139" t="s">
        <v>1084</v>
      </c>
      <c r="C439" s="139" t="s">
        <v>872</v>
      </c>
      <c r="D439" s="139" t="s">
        <v>157</v>
      </c>
      <c r="E439" s="139" t="s">
        <v>100</v>
      </c>
      <c r="F439" s="129">
        <v>0</v>
      </c>
      <c r="G439" s="140">
        <v>0</v>
      </c>
      <c r="H439" s="72"/>
      <c r="I439" s="146"/>
      <c r="J439" s="130"/>
    </row>
    <row r="440" spans="1:10">
      <c r="A440" s="139" t="s">
        <v>1085</v>
      </c>
      <c r="B440" s="139" t="s">
        <v>1086</v>
      </c>
      <c r="C440" s="139" t="s">
        <v>872</v>
      </c>
      <c r="D440" s="139" t="s">
        <v>157</v>
      </c>
      <c r="E440" s="139" t="s">
        <v>100</v>
      </c>
      <c r="F440" s="129">
        <v>0</v>
      </c>
      <c r="G440" s="140">
        <v>0</v>
      </c>
      <c r="H440" s="72"/>
      <c r="I440" s="146"/>
      <c r="J440" s="130"/>
    </row>
    <row r="441" spans="1:10">
      <c r="A441" s="139" t="s">
        <v>1087</v>
      </c>
      <c r="B441" s="139" t="s">
        <v>1088</v>
      </c>
      <c r="C441" s="139" t="s">
        <v>872</v>
      </c>
      <c r="D441" s="139" t="s">
        <v>162</v>
      </c>
      <c r="E441" s="139" t="s">
        <v>100</v>
      </c>
      <c r="F441" s="129">
        <v>-580656.53</v>
      </c>
      <c r="G441" s="140">
        <v>-580656.53</v>
      </c>
      <c r="H441" s="72"/>
      <c r="I441" s="146"/>
      <c r="J441" s="130">
        <f t="shared" si="6"/>
        <v>-580656.53</v>
      </c>
    </row>
    <row r="442" spans="1:10">
      <c r="A442" s="139" t="s">
        <v>1089</v>
      </c>
      <c r="B442" s="139" t="s">
        <v>1090</v>
      </c>
      <c r="C442" s="139" t="s">
        <v>872</v>
      </c>
      <c r="D442" s="139" t="s">
        <v>169</v>
      </c>
      <c r="E442" s="139" t="s">
        <v>1091</v>
      </c>
      <c r="F442" s="129">
        <v>-580656.53</v>
      </c>
      <c r="G442" s="140">
        <v>-580656.53</v>
      </c>
      <c r="H442" s="72"/>
      <c r="I442" s="146"/>
      <c r="J442" s="130"/>
    </row>
    <row r="443" spans="1:10">
      <c r="A443" s="139" t="s">
        <v>1092</v>
      </c>
      <c r="B443" s="139" t="s">
        <v>1093</v>
      </c>
      <c r="C443" s="139" t="s">
        <v>872</v>
      </c>
      <c r="D443" s="139" t="s">
        <v>157</v>
      </c>
      <c r="E443" s="139" t="s">
        <v>100</v>
      </c>
      <c r="F443" s="129">
        <v>0</v>
      </c>
      <c r="G443" s="140">
        <v>0</v>
      </c>
      <c r="H443" s="72"/>
      <c r="I443" s="146"/>
      <c r="J443" s="130"/>
    </row>
    <row r="444" spans="1:10">
      <c r="A444" s="139" t="s">
        <v>1094</v>
      </c>
      <c r="B444" s="139" t="s">
        <v>1095</v>
      </c>
      <c r="C444" s="139" t="s">
        <v>872</v>
      </c>
      <c r="D444" s="139" t="s">
        <v>157</v>
      </c>
      <c r="E444" s="139" t="s">
        <v>100</v>
      </c>
      <c r="F444" s="129">
        <v>0</v>
      </c>
      <c r="G444" s="140">
        <v>0</v>
      </c>
      <c r="H444" s="72"/>
      <c r="I444" s="146"/>
      <c r="J444" s="130"/>
    </row>
    <row r="445" spans="1:10">
      <c r="A445" s="139" t="s">
        <v>1096</v>
      </c>
      <c r="B445" s="139" t="s">
        <v>1097</v>
      </c>
      <c r="C445" s="139" t="s">
        <v>872</v>
      </c>
      <c r="D445" s="139" t="s">
        <v>162</v>
      </c>
      <c r="E445" s="139" t="s">
        <v>100</v>
      </c>
      <c r="F445" s="129">
        <v>0</v>
      </c>
      <c r="G445" s="140">
        <v>0</v>
      </c>
      <c r="H445" s="72"/>
      <c r="I445" s="146"/>
      <c r="J445" s="130">
        <f t="shared" si="6"/>
        <v>0</v>
      </c>
    </row>
    <row r="446" spans="1:10">
      <c r="A446" s="139" t="s">
        <v>1098</v>
      </c>
      <c r="B446" s="139" t="s">
        <v>1099</v>
      </c>
      <c r="C446" s="139" t="s">
        <v>872</v>
      </c>
      <c r="D446" s="139" t="s">
        <v>162</v>
      </c>
      <c r="E446" s="139" t="s">
        <v>100</v>
      </c>
      <c r="F446" s="129">
        <v>0</v>
      </c>
      <c r="G446" s="140">
        <v>0</v>
      </c>
      <c r="H446" s="72"/>
      <c r="I446" s="146"/>
      <c r="J446" s="130">
        <f t="shared" si="6"/>
        <v>0</v>
      </c>
    </row>
    <row r="447" spans="1:10">
      <c r="A447" s="139" t="s">
        <v>1100</v>
      </c>
      <c r="B447" s="139" t="s">
        <v>1101</v>
      </c>
      <c r="C447" s="139" t="s">
        <v>872</v>
      </c>
      <c r="D447" s="139" t="s">
        <v>169</v>
      </c>
      <c r="E447" s="139" t="s">
        <v>1102</v>
      </c>
      <c r="F447" s="129">
        <v>0</v>
      </c>
      <c r="G447" s="140">
        <v>0</v>
      </c>
      <c r="H447" s="72"/>
      <c r="I447" s="146"/>
      <c r="J447" s="130"/>
    </row>
    <row r="448" spans="1:10">
      <c r="A448" s="139" t="s">
        <v>1103</v>
      </c>
      <c r="B448" s="139" t="s">
        <v>1104</v>
      </c>
      <c r="C448" s="139" t="s">
        <v>872</v>
      </c>
      <c r="D448" s="139" t="s">
        <v>157</v>
      </c>
      <c r="E448" s="139" t="s">
        <v>100</v>
      </c>
      <c r="F448" s="129">
        <v>0</v>
      </c>
      <c r="G448" s="140">
        <v>0</v>
      </c>
      <c r="H448" s="72"/>
      <c r="I448" s="146"/>
      <c r="J448" s="130"/>
    </row>
    <row r="449" spans="1:10">
      <c r="A449" s="139" t="s">
        <v>1105</v>
      </c>
      <c r="B449" s="139" t="s">
        <v>155</v>
      </c>
      <c r="C449" s="139" t="s">
        <v>872</v>
      </c>
      <c r="D449" s="139" t="s">
        <v>157</v>
      </c>
      <c r="E449" s="139" t="s">
        <v>100</v>
      </c>
      <c r="F449" s="129">
        <v>0</v>
      </c>
      <c r="G449" s="140">
        <v>0</v>
      </c>
      <c r="H449" s="72"/>
      <c r="I449" s="146"/>
      <c r="J449" s="130"/>
    </row>
    <row r="450" spans="1:10">
      <c r="A450" s="139" t="s">
        <v>1106</v>
      </c>
      <c r="B450" s="139" t="s">
        <v>1107</v>
      </c>
      <c r="C450" s="139" t="s">
        <v>872</v>
      </c>
      <c r="D450" s="139" t="s">
        <v>162</v>
      </c>
      <c r="E450" s="139" t="s">
        <v>100</v>
      </c>
      <c r="F450" s="129">
        <v>-82823.350000000006</v>
      </c>
      <c r="G450" s="140">
        <v>-104346.79</v>
      </c>
      <c r="H450" s="72"/>
      <c r="I450" s="146"/>
      <c r="J450" s="130">
        <f t="shared" si="6"/>
        <v>-82823.350000000006</v>
      </c>
    </row>
    <row r="451" spans="1:10">
      <c r="A451" s="139" t="s">
        <v>1108</v>
      </c>
      <c r="B451" s="139" t="s">
        <v>440</v>
      </c>
      <c r="C451" s="139" t="s">
        <v>872</v>
      </c>
      <c r="D451" s="139" t="s">
        <v>162</v>
      </c>
      <c r="E451" s="139" t="s">
        <v>100</v>
      </c>
      <c r="F451" s="129">
        <v>0</v>
      </c>
      <c r="G451" s="140">
        <v>0</v>
      </c>
      <c r="H451" s="72"/>
      <c r="I451" s="146"/>
      <c r="J451" s="130">
        <f t="shared" si="6"/>
        <v>0</v>
      </c>
    </row>
    <row r="452" spans="1:10">
      <c r="A452" s="139" t="s">
        <v>1109</v>
      </c>
      <c r="B452" s="139" t="s">
        <v>1110</v>
      </c>
      <c r="C452" s="139" t="s">
        <v>872</v>
      </c>
      <c r="D452" s="139" t="s">
        <v>162</v>
      </c>
      <c r="E452" s="139" t="s">
        <v>100</v>
      </c>
      <c r="F452" s="129">
        <v>0</v>
      </c>
      <c r="G452" s="140">
        <v>0</v>
      </c>
      <c r="H452" s="72"/>
      <c r="I452" s="146"/>
      <c r="J452" s="130">
        <f t="shared" si="6"/>
        <v>0</v>
      </c>
    </row>
    <row r="453" spans="1:10">
      <c r="A453" s="139" t="s">
        <v>1111</v>
      </c>
      <c r="B453" s="139" t="s">
        <v>481</v>
      </c>
      <c r="C453" s="139" t="s">
        <v>872</v>
      </c>
      <c r="D453" s="139" t="s">
        <v>162</v>
      </c>
      <c r="E453" s="139" t="s">
        <v>100</v>
      </c>
      <c r="F453" s="129">
        <v>0</v>
      </c>
      <c r="G453" s="140">
        <v>0</v>
      </c>
      <c r="H453" s="72"/>
      <c r="I453" s="146"/>
      <c r="J453" s="130">
        <f t="shared" si="6"/>
        <v>0</v>
      </c>
    </row>
    <row r="454" spans="1:10">
      <c r="A454" s="139" t="s">
        <v>1112</v>
      </c>
      <c r="B454" s="139" t="s">
        <v>278</v>
      </c>
      <c r="C454" s="139" t="s">
        <v>872</v>
      </c>
      <c r="D454" s="139" t="s">
        <v>169</v>
      </c>
      <c r="E454" s="139" t="s">
        <v>1113</v>
      </c>
      <c r="F454" s="129">
        <v>-82823.350000000006</v>
      </c>
      <c r="G454" s="140">
        <v>-104346.79</v>
      </c>
      <c r="H454" s="72"/>
      <c r="I454" s="146"/>
      <c r="J454" s="130"/>
    </row>
    <row r="455" spans="1:10">
      <c r="A455" s="139" t="s">
        <v>1114</v>
      </c>
      <c r="B455" s="139" t="s">
        <v>1115</v>
      </c>
      <c r="C455" s="139" t="s">
        <v>872</v>
      </c>
      <c r="D455" s="139" t="s">
        <v>157</v>
      </c>
      <c r="E455" s="139" t="s">
        <v>100</v>
      </c>
      <c r="F455" s="129">
        <v>0</v>
      </c>
      <c r="G455" s="140">
        <v>0</v>
      </c>
      <c r="H455" s="72"/>
      <c r="I455" s="146"/>
      <c r="J455" s="130"/>
    </row>
    <row r="456" spans="1:10">
      <c r="A456" s="139" t="s">
        <v>1116</v>
      </c>
      <c r="B456" s="139" t="s">
        <v>220</v>
      </c>
      <c r="C456" s="139" t="s">
        <v>872</v>
      </c>
      <c r="D456" s="139" t="s">
        <v>162</v>
      </c>
      <c r="E456" s="139" t="s">
        <v>100</v>
      </c>
      <c r="F456" s="129">
        <v>0</v>
      </c>
      <c r="G456" s="140">
        <v>0</v>
      </c>
      <c r="H456" s="72"/>
      <c r="I456" s="146"/>
      <c r="J456" s="130">
        <f t="shared" si="6"/>
        <v>0</v>
      </c>
    </row>
    <row r="457" spans="1:10">
      <c r="A457" s="139" t="s">
        <v>1117</v>
      </c>
      <c r="B457" s="139" t="s">
        <v>1118</v>
      </c>
      <c r="C457" s="139" t="s">
        <v>872</v>
      </c>
      <c r="D457" s="139" t="s">
        <v>162</v>
      </c>
      <c r="E457" s="139" t="s">
        <v>100</v>
      </c>
      <c r="F457" s="129">
        <v>0</v>
      </c>
      <c r="G457" s="140">
        <v>0</v>
      </c>
      <c r="H457" s="72"/>
      <c r="I457" s="146"/>
      <c r="J457" s="130">
        <f t="shared" si="6"/>
        <v>0</v>
      </c>
    </row>
    <row r="458" spans="1:10">
      <c r="A458" s="139" t="s">
        <v>1119</v>
      </c>
      <c r="B458" s="139" t="s">
        <v>1120</v>
      </c>
      <c r="C458" s="139" t="s">
        <v>872</v>
      </c>
      <c r="D458" s="139" t="s">
        <v>162</v>
      </c>
      <c r="E458" s="139" t="s">
        <v>100</v>
      </c>
      <c r="F458" s="129">
        <v>0</v>
      </c>
      <c r="G458" s="140">
        <v>0</v>
      </c>
      <c r="H458" s="72"/>
      <c r="I458" s="146"/>
      <c r="J458" s="130">
        <f t="shared" si="6"/>
        <v>0</v>
      </c>
    </row>
    <row r="459" spans="1:10">
      <c r="A459" s="139" t="s">
        <v>1121</v>
      </c>
      <c r="B459" s="139" t="s">
        <v>1122</v>
      </c>
      <c r="C459" s="139" t="s">
        <v>872</v>
      </c>
      <c r="D459" s="139" t="s">
        <v>162</v>
      </c>
      <c r="E459" s="139" t="s">
        <v>100</v>
      </c>
      <c r="F459" s="129">
        <v>0</v>
      </c>
      <c r="G459" s="140">
        <v>0</v>
      </c>
      <c r="H459" s="72"/>
      <c r="I459" s="146"/>
      <c r="J459" s="130">
        <f t="shared" si="6"/>
        <v>0</v>
      </c>
    </row>
    <row r="460" spans="1:10">
      <c r="A460" s="139" t="s">
        <v>1123</v>
      </c>
      <c r="B460" s="139" t="s">
        <v>1124</v>
      </c>
      <c r="C460" s="139" t="s">
        <v>872</v>
      </c>
      <c r="D460" s="139" t="s">
        <v>162</v>
      </c>
      <c r="E460" s="139" t="s">
        <v>100</v>
      </c>
      <c r="F460" s="129">
        <v>0</v>
      </c>
      <c r="G460" s="140">
        <v>0</v>
      </c>
      <c r="H460" s="72"/>
      <c r="I460" s="146"/>
      <c r="J460" s="130">
        <f t="shared" si="6"/>
        <v>0</v>
      </c>
    </row>
    <row r="461" spans="1:10">
      <c r="A461" s="139" t="s">
        <v>1125</v>
      </c>
      <c r="B461" s="139" t="s">
        <v>1126</v>
      </c>
      <c r="C461" s="139" t="s">
        <v>872</v>
      </c>
      <c r="D461" s="139" t="s">
        <v>162</v>
      </c>
      <c r="E461" s="139" t="s">
        <v>100</v>
      </c>
      <c r="F461" s="129">
        <v>0</v>
      </c>
      <c r="G461" s="140">
        <v>0</v>
      </c>
      <c r="H461" s="72"/>
      <c r="I461" s="146"/>
      <c r="J461" s="130">
        <f t="shared" si="6"/>
        <v>0</v>
      </c>
    </row>
    <row r="462" spans="1:10">
      <c r="A462" s="139" t="s">
        <v>1127</v>
      </c>
      <c r="B462" s="139" t="s">
        <v>1128</v>
      </c>
      <c r="C462" s="139" t="s">
        <v>872</v>
      </c>
      <c r="D462" s="139" t="s">
        <v>162</v>
      </c>
      <c r="E462" s="139" t="s">
        <v>100</v>
      </c>
      <c r="F462" s="129">
        <v>0</v>
      </c>
      <c r="G462" s="140">
        <v>0</v>
      </c>
      <c r="H462" s="72"/>
      <c r="I462" s="146"/>
      <c r="J462" s="130">
        <f t="shared" si="6"/>
        <v>0</v>
      </c>
    </row>
    <row r="463" spans="1:10">
      <c r="A463" s="139" t="s">
        <v>1129</v>
      </c>
      <c r="B463" s="139" t="s">
        <v>1130</v>
      </c>
      <c r="C463" s="139" t="s">
        <v>872</v>
      </c>
      <c r="D463" s="139" t="s">
        <v>162</v>
      </c>
      <c r="E463" s="139" t="s">
        <v>100</v>
      </c>
      <c r="F463" s="129">
        <v>0</v>
      </c>
      <c r="G463" s="140">
        <v>0</v>
      </c>
      <c r="H463" s="72"/>
      <c r="I463" s="146"/>
      <c r="J463" s="130">
        <f t="shared" si="6"/>
        <v>0</v>
      </c>
    </row>
    <row r="464" spans="1:10">
      <c r="A464" s="139" t="s">
        <v>1131</v>
      </c>
      <c r="B464" s="139" t="s">
        <v>1132</v>
      </c>
      <c r="C464" s="139" t="s">
        <v>872</v>
      </c>
      <c r="D464" s="139" t="s">
        <v>162</v>
      </c>
      <c r="E464" s="139" t="s">
        <v>100</v>
      </c>
      <c r="F464" s="129">
        <v>0</v>
      </c>
      <c r="G464" s="140">
        <v>0</v>
      </c>
      <c r="H464" s="72"/>
      <c r="I464" s="146"/>
      <c r="J464" s="130">
        <f t="shared" si="6"/>
        <v>0</v>
      </c>
    </row>
    <row r="465" spans="1:11">
      <c r="A465" s="139" t="s">
        <v>1133</v>
      </c>
      <c r="B465" s="139" t="s">
        <v>1134</v>
      </c>
      <c r="C465" s="139" t="s">
        <v>872</v>
      </c>
      <c r="D465" s="139" t="s">
        <v>162</v>
      </c>
      <c r="E465" s="139" t="s">
        <v>100</v>
      </c>
      <c r="F465" s="129">
        <v>0</v>
      </c>
      <c r="G465" s="140">
        <v>0</v>
      </c>
      <c r="H465" s="72"/>
      <c r="I465" s="146"/>
      <c r="J465" s="130">
        <f t="shared" si="6"/>
        <v>0</v>
      </c>
    </row>
    <row r="466" spans="1:11">
      <c r="A466" s="139" t="s">
        <v>1135</v>
      </c>
      <c r="B466" s="139" t="s">
        <v>1136</v>
      </c>
      <c r="C466" s="139" t="s">
        <v>872</v>
      </c>
      <c r="D466" s="139" t="s">
        <v>162</v>
      </c>
      <c r="E466" s="139" t="s">
        <v>100</v>
      </c>
      <c r="F466" s="129">
        <v>0</v>
      </c>
      <c r="G466" s="140">
        <v>0</v>
      </c>
      <c r="H466" s="72"/>
      <c r="I466" s="146"/>
      <c r="J466" s="130">
        <f t="shared" si="6"/>
        <v>0</v>
      </c>
    </row>
    <row r="467" spans="1:11">
      <c r="A467" s="139" t="s">
        <v>1137</v>
      </c>
      <c r="B467" s="139" t="s">
        <v>1138</v>
      </c>
      <c r="C467" s="139" t="s">
        <v>872</v>
      </c>
      <c r="D467" s="139" t="s">
        <v>162</v>
      </c>
      <c r="E467" s="139" t="s">
        <v>100</v>
      </c>
      <c r="F467" s="129">
        <v>0</v>
      </c>
      <c r="G467" s="140">
        <v>0</v>
      </c>
      <c r="H467" s="72"/>
      <c r="I467" s="146"/>
      <c r="J467" s="130">
        <f t="shared" si="6"/>
        <v>0</v>
      </c>
    </row>
    <row r="468" spans="1:11">
      <c r="A468" s="139" t="s">
        <v>1139</v>
      </c>
      <c r="B468" s="139" t="s">
        <v>1140</v>
      </c>
      <c r="C468" s="139" t="s">
        <v>872</v>
      </c>
      <c r="D468" s="139" t="s">
        <v>162</v>
      </c>
      <c r="E468" s="139" t="s">
        <v>100</v>
      </c>
      <c r="F468" s="129">
        <v>0</v>
      </c>
      <c r="G468" s="140">
        <v>0</v>
      </c>
      <c r="H468" s="72"/>
      <c r="I468" s="146"/>
      <c r="J468" s="130">
        <f t="shared" si="6"/>
        <v>0</v>
      </c>
    </row>
    <row r="469" spans="1:11">
      <c r="A469" s="139" t="s">
        <v>1141</v>
      </c>
      <c r="B469" s="139" t="s">
        <v>1142</v>
      </c>
      <c r="C469" s="139" t="s">
        <v>872</v>
      </c>
      <c r="D469" s="139" t="s">
        <v>162</v>
      </c>
      <c r="E469" s="139" t="s">
        <v>100</v>
      </c>
      <c r="F469" s="129">
        <v>0</v>
      </c>
      <c r="G469" s="140">
        <v>0</v>
      </c>
      <c r="H469" s="72"/>
      <c r="I469" s="146"/>
      <c r="J469" s="130">
        <f t="shared" si="6"/>
        <v>0</v>
      </c>
    </row>
    <row r="470" spans="1:11">
      <c r="A470" s="139" t="s">
        <v>1143</v>
      </c>
      <c r="B470" s="139" t="s">
        <v>1144</v>
      </c>
      <c r="C470" s="139" t="s">
        <v>872</v>
      </c>
      <c r="D470" s="139" t="s">
        <v>162</v>
      </c>
      <c r="E470" s="139" t="s">
        <v>100</v>
      </c>
      <c r="F470" s="129">
        <v>0</v>
      </c>
      <c r="G470" s="140">
        <v>0</v>
      </c>
      <c r="H470" s="72"/>
      <c r="I470" s="146"/>
      <c r="J470" s="130">
        <f t="shared" si="6"/>
        <v>0</v>
      </c>
    </row>
    <row r="471" spans="1:11">
      <c r="A471" s="139" t="s">
        <v>1145</v>
      </c>
      <c r="B471" s="139" t="s">
        <v>1146</v>
      </c>
      <c r="C471" s="139" t="s">
        <v>872</v>
      </c>
      <c r="D471" s="139" t="s">
        <v>162</v>
      </c>
      <c r="E471" s="139" t="s">
        <v>100</v>
      </c>
      <c r="F471" s="129">
        <v>0</v>
      </c>
      <c r="G471" s="140">
        <v>0</v>
      </c>
      <c r="H471" s="72"/>
      <c r="I471" s="146"/>
      <c r="J471" s="130">
        <f t="shared" ref="J471:J534" si="7">+F471</f>
        <v>0</v>
      </c>
    </row>
    <row r="472" spans="1:11">
      <c r="A472" s="139" t="s">
        <v>1147</v>
      </c>
      <c r="B472" s="139" t="s">
        <v>1148</v>
      </c>
      <c r="C472" s="139" t="s">
        <v>872</v>
      </c>
      <c r="D472" s="139" t="s">
        <v>162</v>
      </c>
      <c r="E472" s="139" t="s">
        <v>100</v>
      </c>
      <c r="F472" s="129">
        <v>0</v>
      </c>
      <c r="G472" s="140">
        <v>0</v>
      </c>
      <c r="H472" s="72"/>
      <c r="I472" s="146"/>
      <c r="J472" s="130">
        <f t="shared" si="7"/>
        <v>0</v>
      </c>
    </row>
    <row r="473" spans="1:11">
      <c r="A473" s="139" t="s">
        <v>1149</v>
      </c>
      <c r="B473" s="139" t="s">
        <v>1150</v>
      </c>
      <c r="C473" s="139" t="s">
        <v>872</v>
      </c>
      <c r="D473" s="139" t="s">
        <v>162</v>
      </c>
      <c r="E473" s="139" t="s">
        <v>100</v>
      </c>
      <c r="F473" s="129">
        <v>0</v>
      </c>
      <c r="G473" s="140">
        <v>0</v>
      </c>
      <c r="H473" s="72"/>
      <c r="I473" s="146"/>
      <c r="J473" s="130">
        <f t="shared" si="7"/>
        <v>0</v>
      </c>
    </row>
    <row r="474" spans="1:11">
      <c r="A474" s="139" t="s">
        <v>1151</v>
      </c>
      <c r="B474" s="139" t="s">
        <v>1152</v>
      </c>
      <c r="C474" s="139" t="s">
        <v>872</v>
      </c>
      <c r="D474" s="139" t="s">
        <v>169</v>
      </c>
      <c r="E474" s="139" t="s">
        <v>1153</v>
      </c>
      <c r="F474" s="129">
        <v>0</v>
      </c>
      <c r="G474" s="140">
        <v>0</v>
      </c>
      <c r="H474" s="72"/>
      <c r="I474" s="146"/>
      <c r="J474" s="130"/>
    </row>
    <row r="475" spans="1:11">
      <c r="A475" s="139" t="s">
        <v>1154</v>
      </c>
      <c r="B475" s="139" t="s">
        <v>1155</v>
      </c>
      <c r="C475" s="139" t="s">
        <v>872</v>
      </c>
      <c r="D475" s="139" t="s">
        <v>169</v>
      </c>
      <c r="E475" s="139" t="s">
        <v>1156</v>
      </c>
      <c r="F475" s="129">
        <v>-82823.350000000006</v>
      </c>
      <c r="G475" s="140">
        <v>-104346.79</v>
      </c>
      <c r="H475" s="72"/>
      <c r="I475" s="146"/>
      <c r="J475" s="130"/>
    </row>
    <row r="476" spans="1:11">
      <c r="A476" s="139" t="s">
        <v>1157</v>
      </c>
      <c r="B476" s="139" t="s">
        <v>1158</v>
      </c>
      <c r="C476" s="139" t="s">
        <v>872</v>
      </c>
      <c r="D476" s="139" t="s">
        <v>169</v>
      </c>
      <c r="E476" s="139" t="s">
        <v>1159</v>
      </c>
      <c r="F476" s="129">
        <v>-82823.350000000006</v>
      </c>
      <c r="G476" s="140">
        <v>-104346.79</v>
      </c>
      <c r="H476" s="72"/>
      <c r="I476" s="146"/>
      <c r="J476" s="130"/>
    </row>
    <row r="477" spans="1:11">
      <c r="A477" s="139" t="s">
        <v>1160</v>
      </c>
      <c r="B477" s="139" t="s">
        <v>1161</v>
      </c>
      <c r="C477" s="139" t="s">
        <v>872</v>
      </c>
      <c r="D477" s="139" t="s">
        <v>157</v>
      </c>
      <c r="E477" s="139" t="s">
        <v>100</v>
      </c>
      <c r="F477" s="129">
        <v>0</v>
      </c>
      <c r="G477" s="140">
        <v>0</v>
      </c>
      <c r="H477" s="72"/>
      <c r="I477" s="146"/>
      <c r="J477" s="130"/>
    </row>
    <row r="478" spans="1:11">
      <c r="A478" s="139" t="s">
        <v>1162</v>
      </c>
      <c r="B478" s="139" t="s">
        <v>1163</v>
      </c>
      <c r="C478" s="139" t="s">
        <v>872</v>
      </c>
      <c r="D478" s="139" t="s">
        <v>162</v>
      </c>
      <c r="E478" s="139" t="s">
        <v>100</v>
      </c>
      <c r="F478" s="129">
        <v>-1460</v>
      </c>
      <c r="G478" s="140">
        <v>-1460</v>
      </c>
      <c r="H478" s="72"/>
      <c r="I478" s="146"/>
      <c r="J478" s="130">
        <f t="shared" si="7"/>
        <v>-1460</v>
      </c>
      <c r="K478" s="3">
        <f>SUM(J478:J518)</f>
        <v>-1104551.1000000001</v>
      </c>
    </row>
    <row r="479" spans="1:11">
      <c r="A479" s="139" t="s">
        <v>1164</v>
      </c>
      <c r="B479" s="139" t="s">
        <v>1165</v>
      </c>
      <c r="C479" s="139" t="s">
        <v>872</v>
      </c>
      <c r="D479" s="139" t="s">
        <v>162</v>
      </c>
      <c r="E479" s="139" t="s">
        <v>100</v>
      </c>
      <c r="F479" s="129">
        <v>-600</v>
      </c>
      <c r="G479" s="140">
        <v>-600</v>
      </c>
      <c r="H479" s="72"/>
      <c r="I479" s="146"/>
      <c r="J479" s="130">
        <f t="shared" si="7"/>
        <v>-600</v>
      </c>
    </row>
    <row r="480" spans="1:11">
      <c r="A480" s="139" t="s">
        <v>1166</v>
      </c>
      <c r="B480" s="139" t="s">
        <v>1167</v>
      </c>
      <c r="C480" s="139" t="s">
        <v>872</v>
      </c>
      <c r="D480" s="139" t="s">
        <v>162</v>
      </c>
      <c r="E480" s="139" t="s">
        <v>100</v>
      </c>
      <c r="F480" s="129">
        <v>0</v>
      </c>
      <c r="G480" s="140">
        <v>0</v>
      </c>
      <c r="H480" s="72"/>
      <c r="I480" s="146"/>
      <c r="J480" s="130">
        <f t="shared" si="7"/>
        <v>0</v>
      </c>
    </row>
    <row r="481" spans="1:10">
      <c r="A481" s="139" t="s">
        <v>1168</v>
      </c>
      <c r="B481" s="139" t="s">
        <v>1169</v>
      </c>
      <c r="C481" s="139" t="s">
        <v>872</v>
      </c>
      <c r="D481" s="139" t="s">
        <v>162</v>
      </c>
      <c r="E481" s="139" t="s">
        <v>100</v>
      </c>
      <c r="F481" s="129">
        <v>-11970</v>
      </c>
      <c r="G481" s="140">
        <v>-11970</v>
      </c>
      <c r="H481" s="72"/>
      <c r="I481" s="146"/>
      <c r="J481" s="130">
        <f t="shared" si="7"/>
        <v>-11970</v>
      </c>
    </row>
    <row r="482" spans="1:10">
      <c r="A482" s="139" t="s">
        <v>1170</v>
      </c>
      <c r="B482" s="139" t="s">
        <v>1171</v>
      </c>
      <c r="C482" s="139" t="s">
        <v>872</v>
      </c>
      <c r="D482" s="139" t="s">
        <v>162</v>
      </c>
      <c r="E482" s="139" t="s">
        <v>100</v>
      </c>
      <c r="F482" s="129">
        <v>0</v>
      </c>
      <c r="G482" s="140">
        <v>0</v>
      </c>
      <c r="H482" s="72"/>
      <c r="I482" s="146"/>
      <c r="J482" s="130">
        <f t="shared" si="7"/>
        <v>0</v>
      </c>
    </row>
    <row r="483" spans="1:10">
      <c r="A483" s="139" t="s">
        <v>1172</v>
      </c>
      <c r="B483" s="139" t="s">
        <v>1173</v>
      </c>
      <c r="C483" s="139" t="s">
        <v>872</v>
      </c>
      <c r="D483" s="139" t="s">
        <v>162</v>
      </c>
      <c r="E483" s="139" t="s">
        <v>100</v>
      </c>
      <c r="F483" s="129">
        <v>-2460</v>
      </c>
      <c r="G483" s="140">
        <v>-2460</v>
      </c>
      <c r="H483" s="72"/>
      <c r="I483" s="146"/>
      <c r="J483" s="130">
        <f t="shared" si="7"/>
        <v>-2460</v>
      </c>
    </row>
    <row r="484" spans="1:10">
      <c r="A484" s="139" t="s">
        <v>1174</v>
      </c>
      <c r="B484" s="139" t="s">
        <v>1175</v>
      </c>
      <c r="C484" s="139" t="s">
        <v>872</v>
      </c>
      <c r="D484" s="139" t="s">
        <v>162</v>
      </c>
      <c r="E484" s="139" t="s">
        <v>100</v>
      </c>
      <c r="F484" s="129">
        <v>-2010</v>
      </c>
      <c r="G484" s="140">
        <v>-2010</v>
      </c>
      <c r="H484" s="72"/>
      <c r="I484" s="146"/>
      <c r="J484" s="130">
        <f t="shared" si="7"/>
        <v>-2010</v>
      </c>
    </row>
    <row r="485" spans="1:10">
      <c r="A485" s="139" t="s">
        <v>1176</v>
      </c>
      <c r="B485" s="139" t="s">
        <v>1177</v>
      </c>
      <c r="C485" s="139" t="s">
        <v>872</v>
      </c>
      <c r="D485" s="139" t="s">
        <v>162</v>
      </c>
      <c r="E485" s="139" t="s">
        <v>100</v>
      </c>
      <c r="F485" s="129">
        <v>-3430</v>
      </c>
      <c r="G485" s="140">
        <v>-3430</v>
      </c>
      <c r="H485" s="72"/>
      <c r="I485" s="146"/>
      <c r="J485" s="130">
        <f t="shared" si="7"/>
        <v>-3430</v>
      </c>
    </row>
    <row r="486" spans="1:10">
      <c r="A486" s="139" t="s">
        <v>1178</v>
      </c>
      <c r="B486" s="139" t="s">
        <v>1179</v>
      </c>
      <c r="C486" s="139" t="s">
        <v>872</v>
      </c>
      <c r="D486" s="139" t="s">
        <v>162</v>
      </c>
      <c r="E486" s="139" t="s">
        <v>100</v>
      </c>
      <c r="F486" s="129">
        <v>111760.77</v>
      </c>
      <c r="G486" s="140">
        <v>113305.68</v>
      </c>
      <c r="H486" s="72"/>
      <c r="I486" s="146"/>
      <c r="J486" s="130">
        <f t="shared" si="7"/>
        <v>111760.77</v>
      </c>
    </row>
    <row r="487" spans="1:10">
      <c r="A487" s="139" t="s">
        <v>1180</v>
      </c>
      <c r="B487" s="139" t="s">
        <v>1181</v>
      </c>
      <c r="C487" s="139" t="s">
        <v>872</v>
      </c>
      <c r="D487" s="139" t="s">
        <v>162</v>
      </c>
      <c r="E487" s="139" t="s">
        <v>100</v>
      </c>
      <c r="F487" s="129">
        <v>0</v>
      </c>
      <c r="G487" s="140">
        <v>0</v>
      </c>
      <c r="H487" s="72"/>
      <c r="I487" s="146"/>
      <c r="J487" s="130">
        <f t="shared" si="7"/>
        <v>0</v>
      </c>
    </row>
    <row r="488" spans="1:10">
      <c r="A488" s="139" t="s">
        <v>1182</v>
      </c>
      <c r="B488" s="139" t="s">
        <v>1183</v>
      </c>
      <c r="C488" s="139" t="s">
        <v>872</v>
      </c>
      <c r="D488" s="139" t="s">
        <v>162</v>
      </c>
      <c r="E488" s="139" t="s">
        <v>100</v>
      </c>
      <c r="F488" s="129">
        <v>-108378.72</v>
      </c>
      <c r="G488" s="140">
        <v>-108378.72</v>
      </c>
      <c r="H488" s="72"/>
      <c r="I488" s="146"/>
      <c r="J488" s="135">
        <f t="shared" si="7"/>
        <v>-108378.72</v>
      </c>
    </row>
    <row r="489" spans="1:10">
      <c r="A489" s="139" t="s">
        <v>1186</v>
      </c>
      <c r="B489" s="139" t="s">
        <v>1187</v>
      </c>
      <c r="C489" s="139" t="s">
        <v>872</v>
      </c>
      <c r="D489" s="139" t="s">
        <v>162</v>
      </c>
      <c r="E489" s="139" t="s">
        <v>100</v>
      </c>
      <c r="F489" s="129">
        <v>0</v>
      </c>
      <c r="G489" s="140">
        <v>0</v>
      </c>
      <c r="H489" s="72">
        <v>-12424</v>
      </c>
      <c r="I489" s="146"/>
      <c r="J489" s="130">
        <f>+F489+H489</f>
        <v>-12424</v>
      </c>
    </row>
    <row r="490" spans="1:10">
      <c r="A490" s="139" t="s">
        <v>1188</v>
      </c>
      <c r="B490" s="139" t="s">
        <v>2148</v>
      </c>
      <c r="C490" s="139" t="s">
        <v>872</v>
      </c>
      <c r="D490" s="139" t="s">
        <v>162</v>
      </c>
      <c r="E490" s="139" t="s">
        <v>100</v>
      </c>
      <c r="F490" s="129">
        <v>0</v>
      </c>
      <c r="G490" s="140">
        <v>0</v>
      </c>
      <c r="H490" s="72"/>
      <c r="I490" s="146"/>
      <c r="J490" s="130">
        <f t="shared" si="7"/>
        <v>0</v>
      </c>
    </row>
    <row r="491" spans="1:10">
      <c r="A491" s="139" t="s">
        <v>1190</v>
      </c>
      <c r="B491" s="139" t="s">
        <v>1191</v>
      </c>
      <c r="C491" s="139" t="s">
        <v>872</v>
      </c>
      <c r="D491" s="139" t="s">
        <v>162</v>
      </c>
      <c r="E491" s="139" t="s">
        <v>100</v>
      </c>
      <c r="F491" s="129">
        <v>0</v>
      </c>
      <c r="G491" s="140">
        <v>0</v>
      </c>
      <c r="H491" s="72"/>
      <c r="I491" s="146"/>
      <c r="J491" s="130">
        <f t="shared" si="7"/>
        <v>0</v>
      </c>
    </row>
    <row r="492" spans="1:10">
      <c r="A492" s="139" t="s">
        <v>1192</v>
      </c>
      <c r="B492" s="139" t="s">
        <v>1193</v>
      </c>
      <c r="C492" s="139" t="s">
        <v>872</v>
      </c>
      <c r="D492" s="139" t="s">
        <v>162</v>
      </c>
      <c r="E492" s="139" t="s">
        <v>100</v>
      </c>
      <c r="F492" s="129">
        <v>0</v>
      </c>
      <c r="G492" s="140">
        <v>0</v>
      </c>
      <c r="H492" s="72"/>
      <c r="I492" s="146"/>
      <c r="J492" s="130">
        <f t="shared" si="7"/>
        <v>0</v>
      </c>
    </row>
    <row r="493" spans="1:10">
      <c r="A493" s="139" t="s">
        <v>1194</v>
      </c>
      <c r="B493" s="139" t="s">
        <v>1195</v>
      </c>
      <c r="C493" s="139" t="s">
        <v>872</v>
      </c>
      <c r="D493" s="139" t="s">
        <v>162</v>
      </c>
      <c r="E493" s="139" t="s">
        <v>100</v>
      </c>
      <c r="F493" s="129">
        <v>63549.62</v>
      </c>
      <c r="G493" s="140">
        <v>63549.62</v>
      </c>
      <c r="H493" s="72"/>
      <c r="I493" s="146"/>
      <c r="J493" s="130">
        <f t="shared" si="7"/>
        <v>63549.62</v>
      </c>
    </row>
    <row r="494" spans="1:10">
      <c r="A494" s="139" t="s">
        <v>1196</v>
      </c>
      <c r="B494" s="139" t="s">
        <v>1197</v>
      </c>
      <c r="C494" s="139" t="s">
        <v>872</v>
      </c>
      <c r="D494" s="139" t="s">
        <v>162</v>
      </c>
      <c r="E494" s="139" t="s">
        <v>100</v>
      </c>
      <c r="F494" s="129">
        <v>-57363.43</v>
      </c>
      <c r="G494" s="140">
        <v>-57363.43</v>
      </c>
      <c r="H494" s="72"/>
      <c r="I494" s="146"/>
      <c r="J494" s="130">
        <f t="shared" si="7"/>
        <v>-57363.43</v>
      </c>
    </row>
    <row r="495" spans="1:10">
      <c r="A495" s="139" t="s">
        <v>1198</v>
      </c>
      <c r="B495" s="139" t="s">
        <v>1199</v>
      </c>
      <c r="C495" s="139" t="s">
        <v>872</v>
      </c>
      <c r="D495" s="139" t="s">
        <v>162</v>
      </c>
      <c r="E495" s="139" t="s">
        <v>100</v>
      </c>
      <c r="F495" s="129">
        <v>-78145.119999999995</v>
      </c>
      <c r="G495" s="140">
        <v>-78145.119999999995</v>
      </c>
      <c r="H495" s="72"/>
      <c r="I495" s="146"/>
      <c r="J495" s="130">
        <f t="shared" si="7"/>
        <v>-78145.119999999995</v>
      </c>
    </row>
    <row r="496" spans="1:10">
      <c r="A496" s="139" t="s">
        <v>1200</v>
      </c>
      <c r="B496" s="139" t="s">
        <v>1201</v>
      </c>
      <c r="C496" s="139" t="s">
        <v>872</v>
      </c>
      <c r="D496" s="139" t="s">
        <v>169</v>
      </c>
      <c r="E496" s="139" t="s">
        <v>1202</v>
      </c>
      <c r="F496" s="129">
        <v>-90506.880000000005</v>
      </c>
      <c r="G496" s="140">
        <v>-88961.97</v>
      </c>
      <c r="H496" s="72"/>
      <c r="I496" s="146"/>
      <c r="J496" s="130"/>
    </row>
    <row r="497" spans="1:10">
      <c r="A497" s="139" t="s">
        <v>1203</v>
      </c>
      <c r="B497" s="139" t="s">
        <v>1204</v>
      </c>
      <c r="C497" s="139" t="s">
        <v>872</v>
      </c>
      <c r="D497" s="139" t="s">
        <v>157</v>
      </c>
      <c r="E497" s="139" t="s">
        <v>100</v>
      </c>
      <c r="F497" s="129">
        <v>0</v>
      </c>
      <c r="G497" s="140">
        <v>0</v>
      </c>
      <c r="H497" s="72"/>
      <c r="I497" s="146"/>
      <c r="J497" s="130"/>
    </row>
    <row r="498" spans="1:10">
      <c r="A498" s="139" t="s">
        <v>1205</v>
      </c>
      <c r="B498" s="139" t="s">
        <v>1206</v>
      </c>
      <c r="C498" s="139" t="s">
        <v>872</v>
      </c>
      <c r="D498" s="139" t="s">
        <v>162</v>
      </c>
      <c r="E498" s="139" t="s">
        <v>100</v>
      </c>
      <c r="F498" s="129">
        <v>-604864.79</v>
      </c>
      <c r="G498" s="140">
        <v>-289814.09999999998</v>
      </c>
      <c r="H498" s="72"/>
      <c r="I498" s="146"/>
      <c r="J498" s="130">
        <f t="shared" si="7"/>
        <v>-604864.79</v>
      </c>
    </row>
    <row r="499" spans="1:10">
      <c r="A499" s="139" t="s">
        <v>1207</v>
      </c>
      <c r="B499" s="139" t="s">
        <v>1208</v>
      </c>
      <c r="C499" s="139" t="s">
        <v>872</v>
      </c>
      <c r="D499" s="139" t="s">
        <v>169</v>
      </c>
      <c r="E499" s="139" t="s">
        <v>1209</v>
      </c>
      <c r="F499" s="129">
        <v>-604864.79</v>
      </c>
      <c r="G499" s="140">
        <v>-289814.09999999998</v>
      </c>
      <c r="H499" s="72"/>
      <c r="I499" s="146"/>
      <c r="J499" s="130"/>
    </row>
    <row r="500" spans="1:10">
      <c r="A500" s="139" t="s">
        <v>1210</v>
      </c>
      <c r="B500" s="139" t="s">
        <v>1211</v>
      </c>
      <c r="C500" s="139" t="s">
        <v>872</v>
      </c>
      <c r="D500" s="139" t="s">
        <v>157</v>
      </c>
      <c r="E500" s="139" t="s">
        <v>100</v>
      </c>
      <c r="F500" s="129">
        <v>0</v>
      </c>
      <c r="G500" s="140">
        <v>0</v>
      </c>
      <c r="H500" s="72"/>
      <c r="I500" s="146"/>
      <c r="J500" s="130"/>
    </row>
    <row r="501" spans="1:10">
      <c r="A501" s="139" t="s">
        <v>1212</v>
      </c>
      <c r="B501" s="139" t="s">
        <v>1213</v>
      </c>
      <c r="C501" s="139" t="s">
        <v>872</v>
      </c>
      <c r="D501" s="139" t="s">
        <v>162</v>
      </c>
      <c r="E501" s="139" t="s">
        <v>100</v>
      </c>
      <c r="F501" s="129">
        <v>0</v>
      </c>
      <c r="G501" s="140">
        <v>0</v>
      </c>
      <c r="H501" s="72"/>
      <c r="I501" s="146"/>
      <c r="J501" s="130">
        <f t="shared" si="7"/>
        <v>0</v>
      </c>
    </row>
    <row r="502" spans="1:10">
      <c r="A502" s="139" t="s">
        <v>1214</v>
      </c>
      <c r="B502" s="139" t="s">
        <v>1215</v>
      </c>
      <c r="C502" s="139" t="s">
        <v>872</v>
      </c>
      <c r="D502" s="139" t="s">
        <v>162</v>
      </c>
      <c r="E502" s="139" t="s">
        <v>100</v>
      </c>
      <c r="F502" s="129">
        <v>0</v>
      </c>
      <c r="G502" s="140">
        <v>0</v>
      </c>
      <c r="H502" s="72"/>
      <c r="I502" s="146"/>
      <c r="J502" s="130">
        <f t="shared" si="7"/>
        <v>0</v>
      </c>
    </row>
    <row r="503" spans="1:10">
      <c r="A503" s="139" t="s">
        <v>1216</v>
      </c>
      <c r="B503" s="139" t="s">
        <v>1217</v>
      </c>
      <c r="C503" s="139" t="s">
        <v>872</v>
      </c>
      <c r="D503" s="139" t="s">
        <v>162</v>
      </c>
      <c r="E503" s="139" t="s">
        <v>100</v>
      </c>
      <c r="F503" s="129">
        <v>-23291.91</v>
      </c>
      <c r="G503" s="140">
        <v>0</v>
      </c>
      <c r="H503" s="72"/>
      <c r="I503" s="146"/>
      <c r="J503" s="130">
        <f t="shared" si="7"/>
        <v>-23291.91</v>
      </c>
    </row>
    <row r="504" spans="1:10">
      <c r="A504" s="139" t="s">
        <v>1218</v>
      </c>
      <c r="B504" s="139" t="s">
        <v>1219</v>
      </c>
      <c r="C504" s="139" t="s">
        <v>872</v>
      </c>
      <c r="D504" s="139" t="s">
        <v>162</v>
      </c>
      <c r="E504" s="139" t="s">
        <v>100</v>
      </c>
      <c r="F504" s="129">
        <v>-24990.240000000002</v>
      </c>
      <c r="G504" s="140">
        <v>-7952.28</v>
      </c>
      <c r="H504" s="72"/>
      <c r="I504" s="146"/>
      <c r="J504" s="130">
        <f t="shared" si="7"/>
        <v>-24990.240000000002</v>
      </c>
    </row>
    <row r="505" spans="1:10">
      <c r="A505" s="139" t="s">
        <v>1220</v>
      </c>
      <c r="B505" s="139" t="s">
        <v>1221</v>
      </c>
      <c r="C505" s="139" t="s">
        <v>872</v>
      </c>
      <c r="D505" s="139" t="s">
        <v>162</v>
      </c>
      <c r="E505" s="139" t="s">
        <v>100</v>
      </c>
      <c r="F505" s="129">
        <v>-14227.32</v>
      </c>
      <c r="G505" s="140">
        <v>-2966.66</v>
      </c>
      <c r="H505" s="72"/>
      <c r="I505" s="146"/>
      <c r="J505" s="130">
        <f t="shared" si="7"/>
        <v>-14227.32</v>
      </c>
    </row>
    <row r="506" spans="1:10">
      <c r="A506" s="139" t="s">
        <v>1222</v>
      </c>
      <c r="B506" s="139" t="s">
        <v>1223</v>
      </c>
      <c r="C506" s="139" t="s">
        <v>872</v>
      </c>
      <c r="D506" s="139" t="s">
        <v>162</v>
      </c>
      <c r="E506" s="139" t="s">
        <v>100</v>
      </c>
      <c r="F506" s="129">
        <v>-123822.22</v>
      </c>
      <c r="G506" s="140">
        <v>8</v>
      </c>
      <c r="H506" s="72"/>
      <c r="I506" s="146"/>
      <c r="J506" s="130">
        <f t="shared" si="7"/>
        <v>-123822.22</v>
      </c>
    </row>
    <row r="507" spans="1:10">
      <c r="A507" s="139" t="s">
        <v>1224</v>
      </c>
      <c r="B507" s="139" t="s">
        <v>1225</v>
      </c>
      <c r="C507" s="139" t="s">
        <v>872</v>
      </c>
      <c r="D507" s="139" t="s">
        <v>162</v>
      </c>
      <c r="E507" s="139" t="s">
        <v>100</v>
      </c>
      <c r="F507" s="129">
        <v>49047.39</v>
      </c>
      <c r="G507" s="140">
        <v>46893.25</v>
      </c>
      <c r="H507" s="72"/>
      <c r="I507" s="146"/>
      <c r="J507" s="130">
        <f t="shared" si="7"/>
        <v>49047.39</v>
      </c>
    </row>
    <row r="508" spans="1:10">
      <c r="A508" s="139" t="s">
        <v>1226</v>
      </c>
      <c r="B508" s="139" t="s">
        <v>1227</v>
      </c>
      <c r="C508" s="139" t="s">
        <v>872</v>
      </c>
      <c r="D508" s="139" t="s">
        <v>162</v>
      </c>
      <c r="E508" s="139" t="s">
        <v>100</v>
      </c>
      <c r="F508" s="129">
        <v>0</v>
      </c>
      <c r="G508" s="140">
        <v>0</v>
      </c>
      <c r="H508" s="72"/>
      <c r="I508" s="146"/>
      <c r="J508" s="130">
        <f t="shared" si="7"/>
        <v>0</v>
      </c>
    </row>
    <row r="509" spans="1:10">
      <c r="A509" s="139" t="s">
        <v>1228</v>
      </c>
      <c r="B509" s="139" t="s">
        <v>1229</v>
      </c>
      <c r="C509" s="139" t="s">
        <v>872</v>
      </c>
      <c r="D509" s="139" t="s">
        <v>169</v>
      </c>
      <c r="E509" s="139" t="s">
        <v>1230</v>
      </c>
      <c r="F509" s="129">
        <v>-137284.29999999999</v>
      </c>
      <c r="G509" s="140">
        <v>35982.31</v>
      </c>
      <c r="H509" s="72"/>
      <c r="I509" s="146"/>
      <c r="J509" s="130"/>
    </row>
    <row r="510" spans="1:10">
      <c r="A510" s="139" t="s">
        <v>1231</v>
      </c>
      <c r="B510" s="139" t="s">
        <v>1232</v>
      </c>
      <c r="C510" s="139" t="s">
        <v>872</v>
      </c>
      <c r="D510" s="139" t="s">
        <v>157</v>
      </c>
      <c r="E510" s="139" t="s">
        <v>100</v>
      </c>
      <c r="F510" s="129">
        <v>0</v>
      </c>
      <c r="G510" s="140">
        <v>0</v>
      </c>
      <c r="H510" s="72"/>
      <c r="I510" s="146"/>
      <c r="J510" s="130"/>
    </row>
    <row r="511" spans="1:10">
      <c r="A511" s="139" t="s">
        <v>1233</v>
      </c>
      <c r="B511" s="139" t="s">
        <v>1234</v>
      </c>
      <c r="C511" s="139" t="s">
        <v>872</v>
      </c>
      <c r="D511" s="139" t="s">
        <v>162</v>
      </c>
      <c r="E511" s="139" t="s">
        <v>100</v>
      </c>
      <c r="F511" s="129">
        <v>-3602.65</v>
      </c>
      <c r="G511" s="140">
        <v>-3602.65</v>
      </c>
      <c r="H511" s="72"/>
      <c r="I511" s="146"/>
      <c r="J511" s="130">
        <f t="shared" si="7"/>
        <v>-3602.65</v>
      </c>
    </row>
    <row r="512" spans="1:10">
      <c r="A512" s="139" t="s">
        <v>1235</v>
      </c>
      <c r="B512" s="139" t="s">
        <v>1236</v>
      </c>
      <c r="C512" s="139" t="s">
        <v>872</v>
      </c>
      <c r="D512" s="139" t="s">
        <v>162</v>
      </c>
      <c r="E512" s="139" t="s">
        <v>100</v>
      </c>
      <c r="F512" s="129">
        <v>0</v>
      </c>
      <c r="G512" s="140">
        <v>0</v>
      </c>
      <c r="H512" s="72"/>
      <c r="I512" s="146"/>
      <c r="J512" s="130">
        <f t="shared" si="7"/>
        <v>0</v>
      </c>
    </row>
    <row r="513" spans="1:10">
      <c r="A513" s="139" t="s">
        <v>1237</v>
      </c>
      <c r="B513" s="139" t="s">
        <v>1238</v>
      </c>
      <c r="C513" s="139" t="s">
        <v>872</v>
      </c>
      <c r="D513" s="139" t="s">
        <v>162</v>
      </c>
      <c r="E513" s="139" t="s">
        <v>100</v>
      </c>
      <c r="F513" s="129">
        <v>-1718.45</v>
      </c>
      <c r="G513" s="140">
        <v>4867.6099999999997</v>
      </c>
      <c r="H513" s="72"/>
      <c r="I513" s="146"/>
      <c r="J513" s="130">
        <f t="shared" si="7"/>
        <v>-1718.45</v>
      </c>
    </row>
    <row r="514" spans="1:10">
      <c r="A514" s="139" t="s">
        <v>1239</v>
      </c>
      <c r="B514" s="139" t="s">
        <v>1240</v>
      </c>
      <c r="C514" s="139" t="s">
        <v>872</v>
      </c>
      <c r="D514" s="139" t="s">
        <v>162</v>
      </c>
      <c r="E514" s="139" t="s">
        <v>100</v>
      </c>
      <c r="F514" s="129">
        <v>-92514.04</v>
      </c>
      <c r="G514" s="140">
        <v>-2</v>
      </c>
      <c r="H514" s="72">
        <f>-10553-3000</f>
        <v>-13553</v>
      </c>
      <c r="I514" s="146">
        <f>-491.26-466.73</f>
        <v>-957.99</v>
      </c>
      <c r="J514" s="130">
        <f>+F514+H514+I514</f>
        <v>-107025.03</v>
      </c>
    </row>
    <row r="515" spans="1:10">
      <c r="A515" s="139" t="s">
        <v>1241</v>
      </c>
      <c r="B515" s="139" t="s">
        <v>1242</v>
      </c>
      <c r="C515" s="139" t="s">
        <v>872</v>
      </c>
      <c r="D515" s="139" t="s">
        <v>162</v>
      </c>
      <c r="E515" s="139" t="s">
        <v>100</v>
      </c>
      <c r="F515" s="129">
        <v>0</v>
      </c>
      <c r="G515" s="140">
        <v>0</v>
      </c>
      <c r="H515" s="72"/>
      <c r="I515" s="146"/>
      <c r="J515" s="130">
        <f t="shared" si="7"/>
        <v>0</v>
      </c>
    </row>
    <row r="516" spans="1:10">
      <c r="A516" s="139" t="s">
        <v>1243</v>
      </c>
      <c r="B516" s="139" t="s">
        <v>1244</v>
      </c>
      <c r="C516" s="139" t="s">
        <v>872</v>
      </c>
      <c r="D516" s="139" t="s">
        <v>162</v>
      </c>
      <c r="E516" s="139" t="s">
        <v>100</v>
      </c>
      <c r="F516" s="129">
        <v>0</v>
      </c>
      <c r="G516" s="140">
        <v>0</v>
      </c>
      <c r="H516" s="72"/>
      <c r="I516" s="146"/>
      <c r="J516" s="130">
        <f t="shared" si="7"/>
        <v>0</v>
      </c>
    </row>
    <row r="517" spans="1:10">
      <c r="A517" s="139" t="s">
        <v>1245</v>
      </c>
      <c r="B517" s="139" t="s">
        <v>1246</v>
      </c>
      <c r="C517" s="139" t="s">
        <v>872</v>
      </c>
      <c r="D517" s="139" t="s">
        <v>162</v>
      </c>
      <c r="E517" s="139" t="s">
        <v>100</v>
      </c>
      <c r="F517" s="129">
        <v>-147125</v>
      </c>
      <c r="G517" s="140">
        <v>-147125</v>
      </c>
      <c r="H517" s="72"/>
      <c r="I517" s="146"/>
      <c r="J517" s="130">
        <f t="shared" si="7"/>
        <v>-147125</v>
      </c>
    </row>
    <row r="518" spans="1:10">
      <c r="A518" s="139" t="s">
        <v>1247</v>
      </c>
      <c r="B518" s="139" t="s">
        <v>1248</v>
      </c>
      <c r="C518" s="139" t="s">
        <v>872</v>
      </c>
      <c r="D518" s="139" t="s">
        <v>162</v>
      </c>
      <c r="E518" s="139" t="s">
        <v>100</v>
      </c>
      <c r="F518" s="129">
        <v>0</v>
      </c>
      <c r="G518" s="140">
        <v>0</v>
      </c>
      <c r="H518" s="72"/>
      <c r="I518" s="146"/>
      <c r="J518" s="130">
        <f t="shared" si="7"/>
        <v>0</v>
      </c>
    </row>
    <row r="519" spans="1:10">
      <c r="A519" s="139" t="s">
        <v>1249</v>
      </c>
      <c r="B519" s="139" t="s">
        <v>1250</v>
      </c>
      <c r="C519" s="139" t="s">
        <v>872</v>
      </c>
      <c r="D519" s="139" t="s">
        <v>169</v>
      </c>
      <c r="E519" s="139" t="s">
        <v>1251</v>
      </c>
      <c r="F519" s="129">
        <v>-244960.14</v>
      </c>
      <c r="G519" s="140">
        <v>-145862.04</v>
      </c>
      <c r="H519" s="72"/>
      <c r="I519" s="146"/>
      <c r="J519" s="130"/>
    </row>
    <row r="520" spans="1:10">
      <c r="A520" s="139" t="s">
        <v>1252</v>
      </c>
      <c r="B520" s="139" t="s">
        <v>1253</v>
      </c>
      <c r="C520" s="139" t="s">
        <v>872</v>
      </c>
      <c r="D520" s="139" t="s">
        <v>157</v>
      </c>
      <c r="E520" s="139" t="s">
        <v>100</v>
      </c>
      <c r="F520" s="129">
        <v>0</v>
      </c>
      <c r="G520" s="140">
        <v>0</v>
      </c>
      <c r="H520" s="72"/>
      <c r="I520" s="146"/>
      <c r="J520" s="130"/>
    </row>
    <row r="521" spans="1:10">
      <c r="A521" s="139" t="s">
        <v>1254</v>
      </c>
      <c r="B521" s="139" t="s">
        <v>155</v>
      </c>
      <c r="C521" s="139" t="s">
        <v>872</v>
      </c>
      <c r="D521" s="139" t="s">
        <v>157</v>
      </c>
      <c r="E521" s="139" t="s">
        <v>100</v>
      </c>
      <c r="F521" s="129">
        <v>0</v>
      </c>
      <c r="G521" s="140">
        <v>0</v>
      </c>
      <c r="H521" s="72"/>
      <c r="I521" s="146"/>
      <c r="J521" s="130"/>
    </row>
    <row r="522" spans="1:10">
      <c r="A522" s="139" t="s">
        <v>1255</v>
      </c>
      <c r="B522" s="139" t="s">
        <v>1256</v>
      </c>
      <c r="C522" s="139" t="s">
        <v>872</v>
      </c>
      <c r="D522" s="139" t="s">
        <v>157</v>
      </c>
      <c r="E522" s="139" t="s">
        <v>100</v>
      </c>
      <c r="F522" s="129">
        <v>0</v>
      </c>
      <c r="G522" s="140">
        <v>0</v>
      </c>
      <c r="H522" s="72"/>
      <c r="I522" s="146"/>
      <c r="J522" s="130"/>
    </row>
    <row r="523" spans="1:10">
      <c r="A523" s="139" t="s">
        <v>1257</v>
      </c>
      <c r="B523" s="139" t="s">
        <v>1258</v>
      </c>
      <c r="C523" s="139" t="s">
        <v>872</v>
      </c>
      <c r="D523" s="139" t="s">
        <v>162</v>
      </c>
      <c r="E523" s="139" t="s">
        <v>100</v>
      </c>
      <c r="F523" s="129">
        <v>0</v>
      </c>
      <c r="G523" s="140">
        <v>0</v>
      </c>
      <c r="H523" s="72"/>
      <c r="I523" s="146"/>
      <c r="J523" s="130">
        <f t="shared" si="7"/>
        <v>0</v>
      </c>
    </row>
    <row r="524" spans="1:10">
      <c r="A524" s="139" t="s">
        <v>1259</v>
      </c>
      <c r="B524" s="139" t="s">
        <v>1260</v>
      </c>
      <c r="C524" s="139" t="s">
        <v>872</v>
      </c>
      <c r="D524" s="139" t="s">
        <v>162</v>
      </c>
      <c r="E524" s="139" t="s">
        <v>100</v>
      </c>
      <c r="F524" s="129">
        <v>0</v>
      </c>
      <c r="G524" s="140">
        <v>0</v>
      </c>
      <c r="H524" s="72"/>
      <c r="I524" s="146"/>
      <c r="J524" s="130">
        <f t="shared" si="7"/>
        <v>0</v>
      </c>
    </row>
    <row r="525" spans="1:10">
      <c r="A525" s="139" t="s">
        <v>1261</v>
      </c>
      <c r="B525" s="139" t="s">
        <v>1262</v>
      </c>
      <c r="C525" s="139" t="s">
        <v>872</v>
      </c>
      <c r="D525" s="139" t="s">
        <v>162</v>
      </c>
      <c r="E525" s="139" t="s">
        <v>100</v>
      </c>
      <c r="F525" s="129">
        <v>0</v>
      </c>
      <c r="G525" s="140">
        <v>0</v>
      </c>
      <c r="H525" s="72"/>
      <c r="I525" s="146"/>
      <c r="J525" s="130">
        <f t="shared" si="7"/>
        <v>0</v>
      </c>
    </row>
    <row r="526" spans="1:10">
      <c r="A526" s="139" t="s">
        <v>1263</v>
      </c>
      <c r="B526" s="139" t="s">
        <v>1264</v>
      </c>
      <c r="C526" s="139" t="s">
        <v>872</v>
      </c>
      <c r="D526" s="139" t="s">
        <v>162</v>
      </c>
      <c r="E526" s="139" t="s">
        <v>100</v>
      </c>
      <c r="F526" s="129">
        <v>0</v>
      </c>
      <c r="G526" s="140">
        <v>0</v>
      </c>
      <c r="H526" s="72"/>
      <c r="I526" s="146"/>
      <c r="J526" s="130">
        <f t="shared" si="7"/>
        <v>0</v>
      </c>
    </row>
    <row r="527" spans="1:10">
      <c r="A527" s="139" t="s">
        <v>1265</v>
      </c>
      <c r="B527" s="139" t="s">
        <v>1266</v>
      </c>
      <c r="C527" s="139" t="s">
        <v>872</v>
      </c>
      <c r="D527" s="139" t="s">
        <v>162</v>
      </c>
      <c r="E527" s="139" t="s">
        <v>100</v>
      </c>
      <c r="F527" s="129">
        <v>0</v>
      </c>
      <c r="G527" s="140">
        <v>0</v>
      </c>
      <c r="H527" s="72"/>
      <c r="I527" s="146"/>
      <c r="J527" s="130">
        <f t="shared" si="7"/>
        <v>0</v>
      </c>
    </row>
    <row r="528" spans="1:10">
      <c r="A528" s="139" t="s">
        <v>1267</v>
      </c>
      <c r="B528" s="139" t="s">
        <v>1268</v>
      </c>
      <c r="C528" s="139" t="s">
        <v>872</v>
      </c>
      <c r="D528" s="139" t="s">
        <v>162</v>
      </c>
      <c r="E528" s="139" t="s">
        <v>100</v>
      </c>
      <c r="F528" s="129">
        <v>0</v>
      </c>
      <c r="G528" s="140">
        <v>0</v>
      </c>
      <c r="H528" s="72"/>
      <c r="I528" s="146"/>
      <c r="J528" s="130">
        <f t="shared" si="7"/>
        <v>0</v>
      </c>
    </row>
    <row r="529" spans="1:10">
      <c r="A529" s="139" t="s">
        <v>1269</v>
      </c>
      <c r="B529" s="139" t="s">
        <v>1270</v>
      </c>
      <c r="C529" s="139" t="s">
        <v>872</v>
      </c>
      <c r="D529" s="139" t="s">
        <v>169</v>
      </c>
      <c r="E529" s="139" t="s">
        <v>1271</v>
      </c>
      <c r="F529" s="129">
        <v>0</v>
      </c>
      <c r="G529" s="140">
        <v>0</v>
      </c>
      <c r="H529" s="72"/>
      <c r="I529" s="146"/>
      <c r="J529" s="130"/>
    </row>
    <row r="530" spans="1:10">
      <c r="A530" s="139" t="s">
        <v>1272</v>
      </c>
      <c r="B530" s="139" t="s">
        <v>189</v>
      </c>
      <c r="C530" s="139" t="s">
        <v>872</v>
      </c>
      <c r="D530" s="139" t="s">
        <v>157</v>
      </c>
      <c r="E530" s="139" t="s">
        <v>100</v>
      </c>
      <c r="F530" s="129">
        <v>0</v>
      </c>
      <c r="G530" s="140">
        <v>0</v>
      </c>
      <c r="H530" s="72"/>
      <c r="I530" s="146"/>
      <c r="J530" s="130"/>
    </row>
    <row r="531" spans="1:10">
      <c r="A531" s="139" t="s">
        <v>1273</v>
      </c>
      <c r="B531" s="139" t="s">
        <v>1110</v>
      </c>
      <c r="C531" s="139" t="s">
        <v>872</v>
      </c>
      <c r="D531" s="139" t="s">
        <v>162</v>
      </c>
      <c r="E531" s="139" t="s">
        <v>100</v>
      </c>
      <c r="F531" s="129">
        <v>0</v>
      </c>
      <c r="G531" s="140">
        <v>0</v>
      </c>
      <c r="H531" s="72"/>
      <c r="I531" s="146"/>
      <c r="J531" s="130">
        <f t="shared" si="7"/>
        <v>0</v>
      </c>
    </row>
    <row r="532" spans="1:10">
      <c r="A532" s="139" t="s">
        <v>1274</v>
      </c>
      <c r="B532" s="139" t="s">
        <v>1275</v>
      </c>
      <c r="C532" s="139" t="s">
        <v>872</v>
      </c>
      <c r="D532" s="139" t="s">
        <v>162</v>
      </c>
      <c r="E532" s="139" t="s">
        <v>100</v>
      </c>
      <c r="F532" s="129">
        <v>0</v>
      </c>
      <c r="G532" s="140">
        <v>0</v>
      </c>
      <c r="H532" s="72"/>
      <c r="I532" s="146"/>
      <c r="J532" s="130">
        <f t="shared" si="7"/>
        <v>0</v>
      </c>
    </row>
    <row r="533" spans="1:10">
      <c r="A533" s="139" t="s">
        <v>1276</v>
      </c>
      <c r="B533" s="139" t="s">
        <v>1277</v>
      </c>
      <c r="C533" s="139" t="s">
        <v>872</v>
      </c>
      <c r="D533" s="139" t="s">
        <v>162</v>
      </c>
      <c r="E533" s="139" t="s">
        <v>100</v>
      </c>
      <c r="F533" s="129">
        <v>0</v>
      </c>
      <c r="G533" s="140">
        <v>0</v>
      </c>
      <c r="H533" s="72"/>
      <c r="I533" s="146"/>
      <c r="J533" s="130">
        <f t="shared" si="7"/>
        <v>0</v>
      </c>
    </row>
    <row r="534" spans="1:10">
      <c r="A534" s="139" t="s">
        <v>1278</v>
      </c>
      <c r="B534" s="139" t="s">
        <v>1279</v>
      </c>
      <c r="C534" s="139" t="s">
        <v>872</v>
      </c>
      <c r="D534" s="139" t="s">
        <v>162</v>
      </c>
      <c r="E534" s="139" t="s">
        <v>100</v>
      </c>
      <c r="F534" s="129">
        <v>0</v>
      </c>
      <c r="G534" s="140">
        <v>0</v>
      </c>
      <c r="H534" s="72"/>
      <c r="I534" s="146"/>
      <c r="J534" s="130">
        <f t="shared" si="7"/>
        <v>0</v>
      </c>
    </row>
    <row r="535" spans="1:10">
      <c r="A535" s="139" t="s">
        <v>1280</v>
      </c>
      <c r="B535" s="139" t="s">
        <v>1281</v>
      </c>
      <c r="C535" s="139" t="s">
        <v>872</v>
      </c>
      <c r="D535" s="139" t="s">
        <v>162</v>
      </c>
      <c r="E535" s="139" t="s">
        <v>100</v>
      </c>
      <c r="F535" s="129">
        <v>0</v>
      </c>
      <c r="G535" s="140">
        <v>0</v>
      </c>
      <c r="H535" s="72"/>
      <c r="I535" s="146"/>
      <c r="J535" s="130">
        <f t="shared" ref="J535:J597" si="8">+F535</f>
        <v>0</v>
      </c>
    </row>
    <row r="536" spans="1:10">
      <c r="A536" s="139" t="s">
        <v>1282</v>
      </c>
      <c r="B536" s="139" t="s">
        <v>251</v>
      </c>
      <c r="C536" s="139" t="s">
        <v>872</v>
      </c>
      <c r="D536" s="139" t="s">
        <v>169</v>
      </c>
      <c r="E536" s="139" t="s">
        <v>1283</v>
      </c>
      <c r="F536" s="129">
        <v>0</v>
      </c>
      <c r="G536" s="140">
        <v>0</v>
      </c>
      <c r="H536" s="72"/>
      <c r="I536" s="146"/>
      <c r="J536" s="130"/>
    </row>
    <row r="537" spans="1:10">
      <c r="A537" s="139" t="s">
        <v>1284</v>
      </c>
      <c r="B537" s="139" t="s">
        <v>278</v>
      </c>
      <c r="C537" s="139" t="s">
        <v>872</v>
      </c>
      <c r="D537" s="139" t="s">
        <v>169</v>
      </c>
      <c r="E537" s="139" t="s">
        <v>1285</v>
      </c>
      <c r="F537" s="129">
        <v>0</v>
      </c>
      <c r="G537" s="140">
        <v>0</v>
      </c>
      <c r="H537" s="72"/>
      <c r="I537" s="146"/>
      <c r="J537" s="130"/>
    </row>
    <row r="538" spans="1:10">
      <c r="A538" s="139" t="s">
        <v>1286</v>
      </c>
      <c r="B538" s="139" t="s">
        <v>281</v>
      </c>
      <c r="C538" s="139" t="s">
        <v>872</v>
      </c>
      <c r="D538" s="139" t="s">
        <v>157</v>
      </c>
      <c r="E538" s="139" t="s">
        <v>100</v>
      </c>
      <c r="F538" s="129">
        <v>0</v>
      </c>
      <c r="G538" s="140">
        <v>0</v>
      </c>
      <c r="H538" s="72"/>
      <c r="I538" s="146"/>
      <c r="J538" s="130">
        <f t="shared" si="8"/>
        <v>0</v>
      </c>
    </row>
    <row r="539" spans="1:10">
      <c r="A539" s="139" t="s">
        <v>1287</v>
      </c>
      <c r="B539" s="139" t="s">
        <v>1288</v>
      </c>
      <c r="C539" s="139" t="s">
        <v>872</v>
      </c>
      <c r="D539" s="139" t="s">
        <v>157</v>
      </c>
      <c r="E539" s="139" t="s">
        <v>100</v>
      </c>
      <c r="F539" s="129">
        <v>0</v>
      </c>
      <c r="G539" s="140">
        <v>0</v>
      </c>
      <c r="H539" s="72"/>
      <c r="I539" s="146"/>
      <c r="J539" s="130">
        <f t="shared" si="8"/>
        <v>0</v>
      </c>
    </row>
    <row r="540" spans="1:10">
      <c r="A540" s="139" t="s">
        <v>1289</v>
      </c>
      <c r="B540" s="139" t="s">
        <v>47</v>
      </c>
      <c r="C540" s="139" t="s">
        <v>872</v>
      </c>
      <c r="D540" s="139" t="s">
        <v>162</v>
      </c>
      <c r="E540" s="139" t="s">
        <v>100</v>
      </c>
      <c r="F540" s="129">
        <v>38113.120000000003</v>
      </c>
      <c r="G540" s="140">
        <v>38113.120000000003</v>
      </c>
      <c r="H540" s="72"/>
      <c r="I540" s="146"/>
      <c r="J540" s="130">
        <f t="shared" si="8"/>
        <v>38113.120000000003</v>
      </c>
    </row>
    <row r="541" spans="1:10">
      <c r="A541" s="139" t="s">
        <v>1290</v>
      </c>
      <c r="B541" s="139" t="s">
        <v>1291</v>
      </c>
      <c r="C541" s="139" t="s">
        <v>872</v>
      </c>
      <c r="D541" s="139" t="s">
        <v>162</v>
      </c>
      <c r="E541" s="139" t="s">
        <v>100</v>
      </c>
      <c r="F541" s="129">
        <v>0</v>
      </c>
      <c r="G541" s="140">
        <v>0</v>
      </c>
      <c r="H541" s="72"/>
      <c r="I541" s="146"/>
      <c r="J541" s="130">
        <f t="shared" si="8"/>
        <v>0</v>
      </c>
    </row>
    <row r="542" spans="1:10">
      <c r="A542" s="139" t="s">
        <v>1292</v>
      </c>
      <c r="B542" s="139" t="s">
        <v>1293</v>
      </c>
      <c r="C542" s="139" t="s">
        <v>872</v>
      </c>
      <c r="D542" s="139" t="s">
        <v>162</v>
      </c>
      <c r="E542" s="139" t="s">
        <v>100</v>
      </c>
      <c r="F542" s="129">
        <v>2139.7600000000002</v>
      </c>
      <c r="G542" s="140">
        <v>5990.36</v>
      </c>
      <c r="H542" s="72"/>
      <c r="I542" s="146"/>
      <c r="J542" s="130">
        <f t="shared" si="8"/>
        <v>2139.7600000000002</v>
      </c>
    </row>
    <row r="543" spans="1:10">
      <c r="A543" s="139" t="s">
        <v>1294</v>
      </c>
      <c r="B543" s="139" t="s">
        <v>1295</v>
      </c>
      <c r="C543" s="139" t="s">
        <v>872</v>
      </c>
      <c r="D543" s="139" t="s">
        <v>162</v>
      </c>
      <c r="E543" s="139" t="s">
        <v>100</v>
      </c>
      <c r="F543" s="129">
        <v>0</v>
      </c>
      <c r="G543" s="140">
        <v>0</v>
      </c>
      <c r="H543" s="72"/>
      <c r="I543" s="146"/>
      <c r="J543" s="130">
        <f t="shared" si="8"/>
        <v>0</v>
      </c>
    </row>
    <row r="544" spans="1:10">
      <c r="A544" s="139" t="s">
        <v>1296</v>
      </c>
      <c r="B544" s="139" t="s">
        <v>1297</v>
      </c>
      <c r="C544" s="139" t="s">
        <v>872</v>
      </c>
      <c r="D544" s="139" t="s">
        <v>162</v>
      </c>
      <c r="E544" s="139" t="s">
        <v>100</v>
      </c>
      <c r="F544" s="129">
        <v>0</v>
      </c>
      <c r="G544" s="140">
        <v>0</v>
      </c>
      <c r="H544" s="72"/>
      <c r="I544" s="146"/>
      <c r="J544" s="130">
        <f t="shared" si="8"/>
        <v>0</v>
      </c>
    </row>
    <row r="545" spans="1:10">
      <c r="A545" s="139" t="s">
        <v>1298</v>
      </c>
      <c r="B545" s="139" t="s">
        <v>1299</v>
      </c>
      <c r="C545" s="139" t="s">
        <v>872</v>
      </c>
      <c r="D545" s="139" t="s">
        <v>162</v>
      </c>
      <c r="E545" s="139" t="s">
        <v>100</v>
      </c>
      <c r="F545" s="129">
        <v>100</v>
      </c>
      <c r="G545" s="140">
        <v>110</v>
      </c>
      <c r="H545" s="72"/>
      <c r="I545" s="146"/>
      <c r="J545" s="130">
        <f t="shared" si="8"/>
        <v>100</v>
      </c>
    </row>
    <row r="546" spans="1:10">
      <c r="A546" s="139" t="s">
        <v>1300</v>
      </c>
      <c r="B546" s="139" t="s">
        <v>1301</v>
      </c>
      <c r="C546" s="139" t="s">
        <v>872</v>
      </c>
      <c r="D546" s="139" t="s">
        <v>162</v>
      </c>
      <c r="E546" s="139" t="s">
        <v>100</v>
      </c>
      <c r="F546" s="129">
        <v>0</v>
      </c>
      <c r="G546" s="140">
        <v>0</v>
      </c>
      <c r="H546" s="72"/>
      <c r="I546" s="146"/>
      <c r="J546" s="130">
        <f t="shared" si="8"/>
        <v>0</v>
      </c>
    </row>
    <row r="547" spans="1:10">
      <c r="A547" s="139" t="s">
        <v>1302</v>
      </c>
      <c r="B547" s="139" t="s">
        <v>1303</v>
      </c>
      <c r="C547" s="139" t="s">
        <v>872</v>
      </c>
      <c r="D547" s="139" t="s">
        <v>162</v>
      </c>
      <c r="E547" s="139" t="s">
        <v>100</v>
      </c>
      <c r="F547" s="129">
        <v>26629.94</v>
      </c>
      <c r="G547" s="140">
        <v>37752.5</v>
      </c>
      <c r="H547" s="72"/>
      <c r="I547" s="146"/>
      <c r="J547" s="130">
        <f t="shared" si="8"/>
        <v>26629.94</v>
      </c>
    </row>
    <row r="548" spans="1:10">
      <c r="A548" s="139" t="s">
        <v>1304</v>
      </c>
      <c r="B548" s="139" t="s">
        <v>664</v>
      </c>
      <c r="C548" s="139" t="s">
        <v>872</v>
      </c>
      <c r="D548" s="139" t="s">
        <v>162</v>
      </c>
      <c r="E548" s="139" t="s">
        <v>100</v>
      </c>
      <c r="F548" s="129">
        <v>17832.669999999998</v>
      </c>
      <c r="G548" s="140">
        <v>20167.669999999998</v>
      </c>
      <c r="H548" s="72"/>
      <c r="I548" s="146"/>
      <c r="J548" s="130">
        <f t="shared" si="8"/>
        <v>17832.669999999998</v>
      </c>
    </row>
    <row r="549" spans="1:10">
      <c r="A549" s="139" t="s">
        <v>1305</v>
      </c>
      <c r="B549" s="139" t="s">
        <v>1306</v>
      </c>
      <c r="C549" s="139" t="s">
        <v>872</v>
      </c>
      <c r="D549" s="139" t="s">
        <v>162</v>
      </c>
      <c r="E549" s="139" t="s">
        <v>100</v>
      </c>
      <c r="F549" s="129">
        <v>41707.53</v>
      </c>
      <c r="G549" s="140">
        <v>42339.53</v>
      </c>
      <c r="H549" s="72"/>
      <c r="I549" s="146"/>
      <c r="J549" s="130">
        <f t="shared" si="8"/>
        <v>41707.53</v>
      </c>
    </row>
    <row r="550" spans="1:10">
      <c r="A550" s="139" t="s">
        <v>1307</v>
      </c>
      <c r="B550" s="139" t="s">
        <v>1308</v>
      </c>
      <c r="C550" s="139" t="s">
        <v>872</v>
      </c>
      <c r="D550" s="139" t="s">
        <v>162</v>
      </c>
      <c r="E550" s="139" t="s">
        <v>100</v>
      </c>
      <c r="F550" s="129">
        <v>0</v>
      </c>
      <c r="G550" s="140">
        <v>0</v>
      </c>
      <c r="H550" s="72"/>
      <c r="I550" s="146"/>
      <c r="J550" s="130">
        <f t="shared" si="8"/>
        <v>0</v>
      </c>
    </row>
    <row r="551" spans="1:10">
      <c r="A551" s="139" t="s">
        <v>1309</v>
      </c>
      <c r="B551" s="139" t="s">
        <v>1310</v>
      </c>
      <c r="C551" s="139" t="s">
        <v>872</v>
      </c>
      <c r="D551" s="139" t="s">
        <v>162</v>
      </c>
      <c r="E551" s="139" t="s">
        <v>100</v>
      </c>
      <c r="F551" s="129">
        <v>0</v>
      </c>
      <c r="G551" s="140">
        <v>0</v>
      </c>
      <c r="H551" s="72"/>
      <c r="I551" s="146"/>
      <c r="J551" s="130">
        <f t="shared" si="8"/>
        <v>0</v>
      </c>
    </row>
    <row r="552" spans="1:10">
      <c r="A552" s="139" t="s">
        <v>1311</v>
      </c>
      <c r="B552" s="139" t="s">
        <v>1312</v>
      </c>
      <c r="C552" s="139" t="s">
        <v>872</v>
      </c>
      <c r="D552" s="139" t="s">
        <v>162</v>
      </c>
      <c r="E552" s="139" t="s">
        <v>100</v>
      </c>
      <c r="F552" s="129">
        <v>449</v>
      </c>
      <c r="G552" s="140">
        <v>449</v>
      </c>
      <c r="H552" s="72"/>
      <c r="I552" s="146"/>
      <c r="J552" s="130">
        <f t="shared" si="8"/>
        <v>449</v>
      </c>
    </row>
    <row r="553" spans="1:10">
      <c r="A553" s="139" t="s">
        <v>1313</v>
      </c>
      <c r="B553" s="139" t="s">
        <v>1314</v>
      </c>
      <c r="C553" s="139" t="s">
        <v>872</v>
      </c>
      <c r="D553" s="139" t="s">
        <v>162</v>
      </c>
      <c r="E553" s="139" t="s">
        <v>100</v>
      </c>
      <c r="F553" s="129">
        <v>0</v>
      </c>
      <c r="G553" s="140">
        <v>0</v>
      </c>
      <c r="H553" s="72"/>
      <c r="I553" s="146"/>
      <c r="J553" s="130">
        <f t="shared" si="8"/>
        <v>0</v>
      </c>
    </row>
    <row r="554" spans="1:10">
      <c r="A554" s="139" t="s">
        <v>1315</v>
      </c>
      <c r="B554" s="139" t="s">
        <v>1316</v>
      </c>
      <c r="C554" s="139" t="s">
        <v>872</v>
      </c>
      <c r="D554" s="139" t="s">
        <v>162</v>
      </c>
      <c r="E554" s="139" t="s">
        <v>100</v>
      </c>
      <c r="F554" s="129">
        <v>0</v>
      </c>
      <c r="G554" s="140">
        <v>0</v>
      </c>
      <c r="H554" s="72"/>
      <c r="I554" s="146"/>
      <c r="J554" s="130">
        <f t="shared" si="8"/>
        <v>0</v>
      </c>
    </row>
    <row r="555" spans="1:10">
      <c r="A555" s="139" t="s">
        <v>1317</v>
      </c>
      <c r="B555" s="139" t="s">
        <v>1318</v>
      </c>
      <c r="C555" s="139" t="s">
        <v>872</v>
      </c>
      <c r="D555" s="139" t="s">
        <v>162</v>
      </c>
      <c r="E555" s="139" t="s">
        <v>100</v>
      </c>
      <c r="F555" s="129">
        <v>0</v>
      </c>
      <c r="G555" s="140">
        <v>0</v>
      </c>
      <c r="H555" s="72"/>
      <c r="I555" s="146"/>
      <c r="J555" s="130">
        <f t="shared" si="8"/>
        <v>0</v>
      </c>
    </row>
    <row r="556" spans="1:10">
      <c r="A556" s="139" t="s">
        <v>1319</v>
      </c>
      <c r="B556" s="139" t="s">
        <v>1320</v>
      </c>
      <c r="C556" s="139" t="s">
        <v>872</v>
      </c>
      <c r="D556" s="139" t="s">
        <v>169</v>
      </c>
      <c r="E556" s="139" t="s">
        <v>1321</v>
      </c>
      <c r="F556" s="129">
        <v>126972.02</v>
      </c>
      <c r="G556" s="140">
        <v>144922.18</v>
      </c>
      <c r="H556" s="72"/>
      <c r="I556" s="146"/>
      <c r="J556" s="130"/>
    </row>
    <row r="557" spans="1:10">
      <c r="A557" s="139" t="s">
        <v>1322</v>
      </c>
      <c r="B557" s="139" t="s">
        <v>1323</v>
      </c>
      <c r="C557" s="139" t="s">
        <v>872</v>
      </c>
      <c r="D557" s="139" t="s">
        <v>157</v>
      </c>
      <c r="E557" s="139" t="s">
        <v>100</v>
      </c>
      <c r="F557" s="129">
        <v>0</v>
      </c>
      <c r="G557" s="140">
        <v>0</v>
      </c>
      <c r="H557" s="72"/>
      <c r="I557" s="146"/>
      <c r="J557" s="130"/>
    </row>
    <row r="558" spans="1:10">
      <c r="A558" s="139" t="s">
        <v>1324</v>
      </c>
      <c r="B558" s="139" t="s">
        <v>1325</v>
      </c>
      <c r="C558" s="139" t="s">
        <v>872</v>
      </c>
      <c r="D558" s="139" t="s">
        <v>162</v>
      </c>
      <c r="E558" s="139" t="s">
        <v>100</v>
      </c>
      <c r="F558" s="129">
        <v>0</v>
      </c>
      <c r="G558" s="140">
        <v>0</v>
      </c>
      <c r="H558" s="72"/>
      <c r="I558" s="146"/>
      <c r="J558" s="130">
        <f t="shared" si="8"/>
        <v>0</v>
      </c>
    </row>
    <row r="559" spans="1:10">
      <c r="A559" s="139" t="s">
        <v>1326</v>
      </c>
      <c r="B559" s="139" t="s">
        <v>1327</v>
      </c>
      <c r="C559" s="139" t="s">
        <v>872</v>
      </c>
      <c r="D559" s="139" t="s">
        <v>162</v>
      </c>
      <c r="E559" s="139" t="s">
        <v>100</v>
      </c>
      <c r="F559" s="129">
        <v>0</v>
      </c>
      <c r="G559" s="140">
        <v>0</v>
      </c>
      <c r="H559" s="72"/>
      <c r="I559" s="146"/>
      <c r="J559" s="130">
        <f t="shared" si="8"/>
        <v>0</v>
      </c>
    </row>
    <row r="560" spans="1:10">
      <c r="A560" s="139" t="s">
        <v>1328</v>
      </c>
      <c r="B560" s="139" t="s">
        <v>1329</v>
      </c>
      <c r="C560" s="139" t="s">
        <v>872</v>
      </c>
      <c r="D560" s="139" t="s">
        <v>162</v>
      </c>
      <c r="E560" s="139" t="s">
        <v>100</v>
      </c>
      <c r="F560" s="129">
        <v>0</v>
      </c>
      <c r="G560" s="140">
        <v>0</v>
      </c>
      <c r="H560" s="72"/>
      <c r="I560" s="146"/>
      <c r="J560" s="130">
        <f t="shared" si="8"/>
        <v>0</v>
      </c>
    </row>
    <row r="561" spans="1:10">
      <c r="A561" s="139" t="s">
        <v>1330</v>
      </c>
      <c r="B561" s="139" t="s">
        <v>1331</v>
      </c>
      <c r="C561" s="139" t="s">
        <v>872</v>
      </c>
      <c r="D561" s="139" t="s">
        <v>162</v>
      </c>
      <c r="E561" s="139" t="s">
        <v>100</v>
      </c>
      <c r="F561" s="129">
        <v>0</v>
      </c>
      <c r="G561" s="140">
        <v>0</v>
      </c>
      <c r="H561" s="72"/>
      <c r="I561" s="146"/>
      <c r="J561" s="130">
        <f t="shared" si="8"/>
        <v>0</v>
      </c>
    </row>
    <row r="562" spans="1:10">
      <c r="A562" s="139" t="s">
        <v>1332</v>
      </c>
      <c r="B562" s="139" t="s">
        <v>1333</v>
      </c>
      <c r="C562" s="139" t="s">
        <v>872</v>
      </c>
      <c r="D562" s="139" t="s">
        <v>169</v>
      </c>
      <c r="E562" s="139" t="s">
        <v>1334</v>
      </c>
      <c r="F562" s="129">
        <v>0</v>
      </c>
      <c r="G562" s="140">
        <v>0</v>
      </c>
      <c r="H562" s="72"/>
      <c r="I562" s="146"/>
      <c r="J562" s="130"/>
    </row>
    <row r="563" spans="1:10">
      <c r="A563" s="139" t="s">
        <v>1335</v>
      </c>
      <c r="B563" s="139" t="s">
        <v>1336</v>
      </c>
      <c r="C563" s="139" t="s">
        <v>872</v>
      </c>
      <c r="D563" s="139" t="s">
        <v>157</v>
      </c>
      <c r="E563" s="139" t="s">
        <v>100</v>
      </c>
      <c r="F563" s="129">
        <v>0</v>
      </c>
      <c r="G563" s="140">
        <v>0</v>
      </c>
      <c r="H563" s="72"/>
      <c r="I563" s="146"/>
      <c r="J563" s="130"/>
    </row>
    <row r="564" spans="1:10">
      <c r="A564" s="139" t="s">
        <v>1337</v>
      </c>
      <c r="B564" s="139" t="s">
        <v>1338</v>
      </c>
      <c r="C564" s="139" t="s">
        <v>872</v>
      </c>
      <c r="D564" s="139" t="s">
        <v>162</v>
      </c>
      <c r="E564" s="139" t="s">
        <v>100</v>
      </c>
      <c r="F564" s="129">
        <v>0</v>
      </c>
      <c r="G564" s="140">
        <v>0</v>
      </c>
      <c r="H564" s="72"/>
      <c r="I564" s="146"/>
      <c r="J564" s="130">
        <f t="shared" si="8"/>
        <v>0</v>
      </c>
    </row>
    <row r="565" spans="1:10">
      <c r="A565" s="139" t="s">
        <v>1339</v>
      </c>
      <c r="B565" s="139" t="s">
        <v>1340</v>
      </c>
      <c r="C565" s="139" t="s">
        <v>872</v>
      </c>
      <c r="D565" s="139" t="s">
        <v>162</v>
      </c>
      <c r="E565" s="139" t="s">
        <v>100</v>
      </c>
      <c r="F565" s="129">
        <v>9505</v>
      </c>
      <c r="G565" s="140">
        <v>35214.68</v>
      </c>
      <c r="H565" s="72"/>
      <c r="I565" s="146"/>
      <c r="J565" s="130">
        <f t="shared" si="8"/>
        <v>9505</v>
      </c>
    </row>
    <row r="566" spans="1:10">
      <c r="A566" s="139" t="s">
        <v>1341</v>
      </c>
      <c r="B566" s="139" t="s">
        <v>1342</v>
      </c>
      <c r="C566" s="139" t="s">
        <v>872</v>
      </c>
      <c r="D566" s="139" t="s">
        <v>162</v>
      </c>
      <c r="E566" s="139" t="s">
        <v>100</v>
      </c>
      <c r="F566" s="129">
        <v>0</v>
      </c>
      <c r="G566" s="140">
        <v>0</v>
      </c>
      <c r="H566" s="72"/>
      <c r="I566" s="146"/>
      <c r="J566" s="130">
        <f t="shared" si="8"/>
        <v>0</v>
      </c>
    </row>
    <row r="567" spans="1:10">
      <c r="A567" s="139" t="s">
        <v>1343</v>
      </c>
      <c r="B567" s="139" t="s">
        <v>1344</v>
      </c>
      <c r="C567" s="139" t="s">
        <v>872</v>
      </c>
      <c r="D567" s="139" t="s">
        <v>162</v>
      </c>
      <c r="E567" s="139" t="s">
        <v>100</v>
      </c>
      <c r="F567" s="129">
        <v>0</v>
      </c>
      <c r="G567" s="140">
        <v>0</v>
      </c>
      <c r="H567" s="72"/>
      <c r="I567" s="146"/>
      <c r="J567" s="130">
        <f t="shared" si="8"/>
        <v>0</v>
      </c>
    </row>
    <row r="568" spans="1:10">
      <c r="A568" s="139" t="s">
        <v>1345</v>
      </c>
      <c r="B568" s="139" t="s">
        <v>1346</v>
      </c>
      <c r="C568" s="139" t="s">
        <v>872</v>
      </c>
      <c r="D568" s="139" t="s">
        <v>162</v>
      </c>
      <c r="E568" s="139" t="s">
        <v>100</v>
      </c>
      <c r="F568" s="129">
        <v>0</v>
      </c>
      <c r="G568" s="140">
        <v>0</v>
      </c>
      <c r="H568" s="72"/>
      <c r="I568" s="146"/>
      <c r="J568" s="130">
        <f t="shared" si="8"/>
        <v>0</v>
      </c>
    </row>
    <row r="569" spans="1:10">
      <c r="A569" s="139" t="s">
        <v>1347</v>
      </c>
      <c r="B569" s="139" t="s">
        <v>1348</v>
      </c>
      <c r="C569" s="139" t="s">
        <v>872</v>
      </c>
      <c r="D569" s="139" t="s">
        <v>162</v>
      </c>
      <c r="E569" s="139" t="s">
        <v>100</v>
      </c>
      <c r="F569" s="129">
        <v>0</v>
      </c>
      <c r="G569" s="140">
        <v>0</v>
      </c>
      <c r="H569" s="72"/>
      <c r="I569" s="146"/>
      <c r="J569" s="130">
        <f t="shared" si="8"/>
        <v>0</v>
      </c>
    </row>
    <row r="570" spans="1:10">
      <c r="A570" s="139" t="s">
        <v>1349</v>
      </c>
      <c r="B570" s="139" t="s">
        <v>1350</v>
      </c>
      <c r="C570" s="139" t="s">
        <v>872</v>
      </c>
      <c r="D570" s="139" t="s">
        <v>162</v>
      </c>
      <c r="E570" s="139" t="s">
        <v>100</v>
      </c>
      <c r="F570" s="129">
        <v>0</v>
      </c>
      <c r="G570" s="140">
        <v>0</v>
      </c>
      <c r="H570" s="72"/>
      <c r="I570" s="146"/>
      <c r="J570" s="130">
        <f t="shared" si="8"/>
        <v>0</v>
      </c>
    </row>
    <row r="571" spans="1:10">
      <c r="A571" s="139" t="s">
        <v>1351</v>
      </c>
      <c r="B571" s="139" t="s">
        <v>1352</v>
      </c>
      <c r="C571" s="139" t="s">
        <v>872</v>
      </c>
      <c r="D571" s="139" t="s">
        <v>162</v>
      </c>
      <c r="E571" s="139" t="s">
        <v>100</v>
      </c>
      <c r="F571" s="129">
        <v>0</v>
      </c>
      <c r="G571" s="140">
        <v>0</v>
      </c>
      <c r="H571" s="72"/>
      <c r="I571" s="146"/>
      <c r="J571" s="130">
        <f t="shared" si="8"/>
        <v>0</v>
      </c>
    </row>
    <row r="572" spans="1:10">
      <c r="A572" s="139" t="s">
        <v>1353</v>
      </c>
      <c r="B572" s="139" t="s">
        <v>1354</v>
      </c>
      <c r="C572" s="139" t="s">
        <v>872</v>
      </c>
      <c r="D572" s="139" t="s">
        <v>162</v>
      </c>
      <c r="E572" s="139" t="s">
        <v>100</v>
      </c>
      <c r="F572" s="129">
        <v>0</v>
      </c>
      <c r="G572" s="140">
        <v>0</v>
      </c>
      <c r="H572" s="72"/>
      <c r="I572" s="146"/>
      <c r="J572" s="130">
        <f t="shared" si="8"/>
        <v>0</v>
      </c>
    </row>
    <row r="573" spans="1:10">
      <c r="A573" s="139" t="s">
        <v>1355</v>
      </c>
      <c r="B573" s="139" t="s">
        <v>1356</v>
      </c>
      <c r="C573" s="139" t="s">
        <v>872</v>
      </c>
      <c r="D573" s="139" t="s">
        <v>162</v>
      </c>
      <c r="E573" s="139" t="s">
        <v>100</v>
      </c>
      <c r="F573" s="129">
        <v>0</v>
      </c>
      <c r="G573" s="140">
        <v>0</v>
      </c>
      <c r="H573" s="72"/>
      <c r="I573" s="146"/>
      <c r="J573" s="130">
        <f t="shared" si="8"/>
        <v>0</v>
      </c>
    </row>
    <row r="574" spans="1:10">
      <c r="A574" s="139" t="s">
        <v>1357</v>
      </c>
      <c r="B574" s="139" t="s">
        <v>1358</v>
      </c>
      <c r="C574" s="139" t="s">
        <v>872</v>
      </c>
      <c r="D574" s="139" t="s">
        <v>162</v>
      </c>
      <c r="E574" s="139" t="s">
        <v>100</v>
      </c>
      <c r="F574" s="129">
        <v>0</v>
      </c>
      <c r="G574" s="140">
        <v>0</v>
      </c>
      <c r="H574" s="72"/>
      <c r="I574" s="146"/>
      <c r="J574" s="130">
        <f t="shared" si="8"/>
        <v>0</v>
      </c>
    </row>
    <row r="575" spans="1:10">
      <c r="A575" s="139" t="s">
        <v>1359</v>
      </c>
      <c r="B575" s="139" t="s">
        <v>1360</v>
      </c>
      <c r="C575" s="139" t="s">
        <v>872</v>
      </c>
      <c r="D575" s="139" t="s">
        <v>162</v>
      </c>
      <c r="E575" s="139" t="s">
        <v>100</v>
      </c>
      <c r="F575" s="129">
        <v>0</v>
      </c>
      <c r="G575" s="140">
        <v>0</v>
      </c>
      <c r="H575" s="72"/>
      <c r="I575" s="146"/>
      <c r="J575" s="130">
        <f t="shared" si="8"/>
        <v>0</v>
      </c>
    </row>
    <row r="576" spans="1:10">
      <c r="A576" s="139" t="s">
        <v>1361</v>
      </c>
      <c r="B576" s="139" t="s">
        <v>1362</v>
      </c>
      <c r="C576" s="139" t="s">
        <v>872</v>
      </c>
      <c r="D576" s="139" t="s">
        <v>162</v>
      </c>
      <c r="E576" s="139" t="s">
        <v>100</v>
      </c>
      <c r="F576" s="129">
        <v>1159</v>
      </c>
      <c r="G576" s="140">
        <v>1159</v>
      </c>
      <c r="H576" s="72"/>
      <c r="I576" s="146"/>
      <c r="J576" s="130">
        <f t="shared" si="8"/>
        <v>1159</v>
      </c>
    </row>
    <row r="577" spans="1:10">
      <c r="A577" s="139" t="s">
        <v>1363</v>
      </c>
      <c r="B577" s="139" t="s">
        <v>1364</v>
      </c>
      <c r="C577" s="139" t="s">
        <v>872</v>
      </c>
      <c r="D577" s="139" t="s">
        <v>162</v>
      </c>
      <c r="E577" s="139" t="s">
        <v>100</v>
      </c>
      <c r="F577" s="129">
        <v>0</v>
      </c>
      <c r="G577" s="140">
        <v>0</v>
      </c>
      <c r="H577" s="72"/>
      <c r="I577" s="146"/>
      <c r="J577" s="130">
        <f t="shared" si="8"/>
        <v>0</v>
      </c>
    </row>
    <row r="578" spans="1:10">
      <c r="A578" s="139" t="s">
        <v>1365</v>
      </c>
      <c r="B578" s="139" t="s">
        <v>1366</v>
      </c>
      <c r="C578" s="139" t="s">
        <v>872</v>
      </c>
      <c r="D578" s="139" t="s">
        <v>162</v>
      </c>
      <c r="E578" s="139" t="s">
        <v>100</v>
      </c>
      <c r="F578" s="129">
        <v>0</v>
      </c>
      <c r="G578" s="140">
        <v>0</v>
      </c>
      <c r="H578" s="72"/>
      <c r="I578" s="146"/>
      <c r="J578" s="130">
        <f t="shared" si="8"/>
        <v>0</v>
      </c>
    </row>
    <row r="579" spans="1:10">
      <c r="A579" s="139" t="s">
        <v>1367</v>
      </c>
      <c r="B579" s="139" t="s">
        <v>495</v>
      </c>
      <c r="C579" s="139" t="s">
        <v>872</v>
      </c>
      <c r="D579" s="139" t="s">
        <v>162</v>
      </c>
      <c r="E579" s="139" t="s">
        <v>100</v>
      </c>
      <c r="F579" s="129">
        <v>0</v>
      </c>
      <c r="G579" s="140">
        <v>0</v>
      </c>
      <c r="H579" s="72"/>
      <c r="I579" s="146"/>
      <c r="J579" s="130">
        <f t="shared" si="8"/>
        <v>0</v>
      </c>
    </row>
    <row r="580" spans="1:10">
      <c r="A580" s="139" t="s">
        <v>1368</v>
      </c>
      <c r="B580" s="139" t="s">
        <v>1369</v>
      </c>
      <c r="C580" s="139" t="s">
        <v>872</v>
      </c>
      <c r="D580" s="139" t="s">
        <v>162</v>
      </c>
      <c r="E580" s="139" t="s">
        <v>100</v>
      </c>
      <c r="F580" s="129">
        <v>0</v>
      </c>
      <c r="G580" s="140">
        <v>0</v>
      </c>
      <c r="H580" s="72"/>
      <c r="I580" s="146"/>
      <c r="J580" s="130">
        <f t="shared" si="8"/>
        <v>0</v>
      </c>
    </row>
    <row r="581" spans="1:10">
      <c r="A581" s="139" t="s">
        <v>1370</v>
      </c>
      <c r="B581" s="139" t="s">
        <v>1301</v>
      </c>
      <c r="C581" s="139" t="s">
        <v>872</v>
      </c>
      <c r="D581" s="139" t="s">
        <v>162</v>
      </c>
      <c r="E581" s="139" t="s">
        <v>100</v>
      </c>
      <c r="F581" s="129">
        <v>0</v>
      </c>
      <c r="G581" s="140">
        <v>0</v>
      </c>
      <c r="H581" s="72"/>
      <c r="I581" s="146"/>
      <c r="J581" s="130">
        <f t="shared" si="8"/>
        <v>0</v>
      </c>
    </row>
    <row r="582" spans="1:10">
      <c r="A582" s="139" t="s">
        <v>1371</v>
      </c>
      <c r="B582" s="139" t="s">
        <v>1372</v>
      </c>
      <c r="C582" s="139" t="s">
        <v>872</v>
      </c>
      <c r="D582" s="139" t="s">
        <v>162</v>
      </c>
      <c r="E582" s="139" t="s">
        <v>100</v>
      </c>
      <c r="F582" s="129">
        <v>0</v>
      </c>
      <c r="G582" s="140">
        <v>0</v>
      </c>
      <c r="H582" s="72"/>
      <c r="I582" s="146"/>
      <c r="J582" s="130">
        <f t="shared" si="8"/>
        <v>0</v>
      </c>
    </row>
    <row r="583" spans="1:10">
      <c r="A583" s="139" t="s">
        <v>1373</v>
      </c>
      <c r="B583" s="139" t="s">
        <v>1374</v>
      </c>
      <c r="C583" s="139" t="s">
        <v>872</v>
      </c>
      <c r="D583" s="139" t="s">
        <v>169</v>
      </c>
      <c r="E583" s="139" t="s">
        <v>1375</v>
      </c>
      <c r="F583" s="129">
        <v>10664</v>
      </c>
      <c r="G583" s="140">
        <v>36373.68</v>
      </c>
      <c r="H583" s="72"/>
      <c r="I583" s="146"/>
      <c r="J583" s="130"/>
    </row>
    <row r="584" spans="1:10">
      <c r="A584" s="139" t="s">
        <v>1376</v>
      </c>
      <c r="B584" s="139" t="s">
        <v>1377</v>
      </c>
      <c r="C584" s="139" t="s">
        <v>872</v>
      </c>
      <c r="D584" s="139" t="s">
        <v>157</v>
      </c>
      <c r="E584" s="139" t="s">
        <v>100</v>
      </c>
      <c r="F584" s="129">
        <v>0</v>
      </c>
      <c r="G584" s="140">
        <v>0</v>
      </c>
      <c r="H584" s="72"/>
      <c r="I584" s="146"/>
      <c r="J584" s="130"/>
    </row>
    <row r="585" spans="1:10">
      <c r="A585" s="139" t="s">
        <v>1378</v>
      </c>
      <c r="B585" s="139" t="s">
        <v>1379</v>
      </c>
      <c r="C585" s="139" t="s">
        <v>872</v>
      </c>
      <c r="D585" s="139" t="s">
        <v>162</v>
      </c>
      <c r="E585" s="139" t="s">
        <v>100</v>
      </c>
      <c r="F585" s="129">
        <v>0</v>
      </c>
      <c r="G585" s="140">
        <v>0</v>
      </c>
      <c r="H585" s="72"/>
      <c r="I585" s="146"/>
      <c r="J585" s="130">
        <f t="shared" si="8"/>
        <v>0</v>
      </c>
    </row>
    <row r="586" spans="1:10">
      <c r="A586" s="139" t="s">
        <v>1380</v>
      </c>
      <c r="B586" s="139" t="s">
        <v>1381</v>
      </c>
      <c r="C586" s="139" t="s">
        <v>872</v>
      </c>
      <c r="D586" s="139" t="s">
        <v>169</v>
      </c>
      <c r="E586" s="139" t="s">
        <v>1382</v>
      </c>
      <c r="F586" s="129">
        <v>0</v>
      </c>
      <c r="G586" s="140">
        <v>0</v>
      </c>
      <c r="H586" s="72"/>
      <c r="I586" s="146"/>
      <c r="J586" s="130"/>
    </row>
    <row r="587" spans="1:10">
      <c r="A587" s="139" t="s">
        <v>1383</v>
      </c>
      <c r="B587" s="139" t="s">
        <v>1384</v>
      </c>
      <c r="C587" s="139" t="s">
        <v>872</v>
      </c>
      <c r="D587" s="139" t="s">
        <v>157</v>
      </c>
      <c r="E587" s="139" t="s">
        <v>100</v>
      </c>
      <c r="F587" s="129">
        <v>0</v>
      </c>
      <c r="G587" s="140">
        <v>0</v>
      </c>
      <c r="H587" s="72"/>
      <c r="I587" s="146"/>
      <c r="J587" s="130"/>
    </row>
    <row r="588" spans="1:10">
      <c r="A588" s="139" t="s">
        <v>1385</v>
      </c>
      <c r="B588" s="139" t="s">
        <v>1386</v>
      </c>
      <c r="C588" s="139" t="s">
        <v>872</v>
      </c>
      <c r="D588" s="139" t="s">
        <v>162</v>
      </c>
      <c r="E588" s="139" t="s">
        <v>100</v>
      </c>
      <c r="F588" s="129">
        <v>0</v>
      </c>
      <c r="G588" s="140">
        <v>0</v>
      </c>
      <c r="H588" s="72"/>
      <c r="I588" s="146"/>
      <c r="J588" s="130">
        <f t="shared" si="8"/>
        <v>0</v>
      </c>
    </row>
    <row r="589" spans="1:10">
      <c r="A589" s="139" t="s">
        <v>1387</v>
      </c>
      <c r="B589" s="139" t="s">
        <v>1388</v>
      </c>
      <c r="C589" s="139" t="s">
        <v>872</v>
      </c>
      <c r="D589" s="139" t="s">
        <v>162</v>
      </c>
      <c r="E589" s="139" t="s">
        <v>100</v>
      </c>
      <c r="F589" s="129">
        <v>0</v>
      </c>
      <c r="G589" s="140">
        <v>0</v>
      </c>
      <c r="H589" s="72"/>
      <c r="I589" s="146"/>
      <c r="J589" s="130">
        <f t="shared" si="8"/>
        <v>0</v>
      </c>
    </row>
    <row r="590" spans="1:10">
      <c r="A590" s="139" t="s">
        <v>1389</v>
      </c>
      <c r="B590" s="139" t="s">
        <v>1390</v>
      </c>
      <c r="C590" s="139" t="s">
        <v>872</v>
      </c>
      <c r="D590" s="139" t="s">
        <v>162</v>
      </c>
      <c r="E590" s="139" t="s">
        <v>100</v>
      </c>
      <c r="F590" s="129">
        <v>0</v>
      </c>
      <c r="G590" s="140">
        <v>0</v>
      </c>
      <c r="H590" s="72"/>
      <c r="I590" s="146"/>
      <c r="J590" s="130">
        <f t="shared" si="8"/>
        <v>0</v>
      </c>
    </row>
    <row r="591" spans="1:10">
      <c r="A591" s="139" t="s">
        <v>1391</v>
      </c>
      <c r="B591" s="139" t="s">
        <v>1392</v>
      </c>
      <c r="C591" s="139" t="s">
        <v>872</v>
      </c>
      <c r="D591" s="139" t="s">
        <v>169</v>
      </c>
      <c r="E591" s="139" t="s">
        <v>1393</v>
      </c>
      <c r="F591" s="129">
        <v>0</v>
      </c>
      <c r="G591" s="140">
        <v>0</v>
      </c>
      <c r="H591" s="72"/>
      <c r="I591" s="146"/>
      <c r="J591" s="130"/>
    </row>
    <row r="592" spans="1:10">
      <c r="A592" s="139" t="s">
        <v>1394</v>
      </c>
      <c r="B592" s="139" t="s">
        <v>1152</v>
      </c>
      <c r="C592" s="139" t="s">
        <v>872</v>
      </c>
      <c r="D592" s="139" t="s">
        <v>169</v>
      </c>
      <c r="E592" s="139" t="s">
        <v>1395</v>
      </c>
      <c r="F592" s="129">
        <v>137636.01999999999</v>
      </c>
      <c r="G592" s="140">
        <v>181295.86</v>
      </c>
      <c r="H592" s="72"/>
      <c r="I592" s="146"/>
      <c r="J592" s="130"/>
    </row>
    <row r="593" spans="1:11">
      <c r="A593" s="139" t="s">
        <v>1396</v>
      </c>
      <c r="B593" s="139" t="s">
        <v>1397</v>
      </c>
      <c r="C593" s="139" t="s">
        <v>872</v>
      </c>
      <c r="D593" s="139" t="s">
        <v>169</v>
      </c>
      <c r="E593" s="139" t="s">
        <v>1398</v>
      </c>
      <c r="F593" s="129">
        <v>137636.01999999999</v>
      </c>
      <c r="G593" s="140">
        <v>181295.86</v>
      </c>
      <c r="H593" s="72"/>
      <c r="I593" s="146"/>
      <c r="J593" s="130"/>
    </row>
    <row r="594" spans="1:11">
      <c r="A594" s="139" t="s">
        <v>1399</v>
      </c>
      <c r="B594" s="139" t="s">
        <v>1400</v>
      </c>
      <c r="C594" s="139" t="s">
        <v>872</v>
      </c>
      <c r="D594" s="139" t="s">
        <v>157</v>
      </c>
      <c r="E594" s="139" t="s">
        <v>100</v>
      </c>
      <c r="F594" s="129">
        <v>0</v>
      </c>
      <c r="G594" s="140">
        <v>0</v>
      </c>
      <c r="H594" s="72"/>
      <c r="I594" s="146"/>
      <c r="J594" s="130">
        <f t="shared" si="8"/>
        <v>0</v>
      </c>
    </row>
    <row r="595" spans="1:11">
      <c r="A595" s="139" t="s">
        <v>1401</v>
      </c>
      <c r="B595" s="139" t="s">
        <v>1402</v>
      </c>
      <c r="C595" s="139" t="s">
        <v>872</v>
      </c>
      <c r="D595" s="139" t="s">
        <v>162</v>
      </c>
      <c r="E595" s="139" t="s">
        <v>100</v>
      </c>
      <c r="F595" s="129">
        <v>0</v>
      </c>
      <c r="G595" s="140">
        <v>-4452.12</v>
      </c>
      <c r="H595" s="72"/>
      <c r="I595" s="146"/>
      <c r="J595" s="130">
        <f t="shared" si="8"/>
        <v>0</v>
      </c>
    </row>
    <row r="596" spans="1:11">
      <c r="A596" s="139" t="s">
        <v>1403</v>
      </c>
      <c r="B596" s="139" t="s">
        <v>1404</v>
      </c>
      <c r="C596" s="139" t="s">
        <v>872</v>
      </c>
      <c r="D596" s="139" t="s">
        <v>162</v>
      </c>
      <c r="E596" s="139" t="s">
        <v>100</v>
      </c>
      <c r="F596" s="129">
        <v>0</v>
      </c>
      <c r="G596" s="140">
        <v>0</v>
      </c>
      <c r="H596" s="72"/>
      <c r="I596" s="146"/>
      <c r="J596" s="130">
        <f t="shared" si="8"/>
        <v>0</v>
      </c>
    </row>
    <row r="597" spans="1:11">
      <c r="A597" s="139" t="s">
        <v>1405</v>
      </c>
      <c r="B597" s="139" t="s">
        <v>1406</v>
      </c>
      <c r="C597" s="139" t="s">
        <v>872</v>
      </c>
      <c r="D597" s="139" t="s">
        <v>162</v>
      </c>
      <c r="E597" s="139" t="s">
        <v>100</v>
      </c>
      <c r="F597" s="129">
        <v>-17540.95</v>
      </c>
      <c r="G597" s="140">
        <v>-17540.95</v>
      </c>
      <c r="H597" s="72"/>
      <c r="I597" s="146"/>
      <c r="J597" s="130">
        <f t="shared" si="8"/>
        <v>-17540.95</v>
      </c>
      <c r="K597" s="3">
        <f>SUM(J597:J612)</f>
        <v>-1676618.41</v>
      </c>
    </row>
    <row r="598" spans="1:11">
      <c r="A598" s="139" t="s">
        <v>1407</v>
      </c>
      <c r="B598" s="139" t="s">
        <v>1408</v>
      </c>
      <c r="C598" s="139" t="s">
        <v>872</v>
      </c>
      <c r="D598" s="139" t="s">
        <v>169</v>
      </c>
      <c r="E598" s="139" t="s">
        <v>1409</v>
      </c>
      <c r="F598" s="129">
        <v>-17540.95</v>
      </c>
      <c r="G598" s="140">
        <v>-21993.07</v>
      </c>
      <c r="H598" s="72"/>
      <c r="I598" s="146"/>
      <c r="J598" s="130"/>
    </row>
    <row r="599" spans="1:11">
      <c r="A599" s="139" t="s">
        <v>1410</v>
      </c>
      <c r="B599" s="139" t="s">
        <v>1411</v>
      </c>
      <c r="C599" s="139" t="s">
        <v>872</v>
      </c>
      <c r="D599" s="139" t="s">
        <v>157</v>
      </c>
      <c r="E599" s="139" t="s">
        <v>100</v>
      </c>
      <c r="F599" s="129">
        <v>0</v>
      </c>
      <c r="G599" s="140">
        <v>0</v>
      </c>
      <c r="H599" s="72"/>
      <c r="I599" s="146"/>
      <c r="J599" s="130"/>
    </row>
    <row r="600" spans="1:11">
      <c r="A600" s="139" t="s">
        <v>1412</v>
      </c>
      <c r="B600" s="139" t="s">
        <v>1413</v>
      </c>
      <c r="C600" s="139" t="s">
        <v>872</v>
      </c>
      <c r="D600" s="139" t="s">
        <v>162</v>
      </c>
      <c r="E600" s="139" t="s">
        <v>100</v>
      </c>
      <c r="F600" s="129">
        <v>0</v>
      </c>
      <c r="G600" s="140">
        <v>0</v>
      </c>
      <c r="H600" s="72"/>
      <c r="I600" s="146"/>
      <c r="J600" s="130">
        <f t="shared" ref="J600:J612" si="9">+F600</f>
        <v>0</v>
      </c>
    </row>
    <row r="601" spans="1:11">
      <c r="A601" s="139" t="s">
        <v>1414</v>
      </c>
      <c r="B601" s="139" t="s">
        <v>1415</v>
      </c>
      <c r="C601" s="139" t="s">
        <v>872</v>
      </c>
      <c r="D601" s="139" t="s">
        <v>162</v>
      </c>
      <c r="E601" s="139" t="s">
        <v>100</v>
      </c>
      <c r="F601" s="129">
        <v>0</v>
      </c>
      <c r="G601" s="140">
        <v>908</v>
      </c>
      <c r="H601" s="72"/>
      <c r="I601" s="146"/>
      <c r="J601" s="130">
        <f t="shared" si="9"/>
        <v>0</v>
      </c>
    </row>
    <row r="602" spans="1:11">
      <c r="A602" s="139" t="s">
        <v>1416</v>
      </c>
      <c r="B602" s="139" t="s">
        <v>1417</v>
      </c>
      <c r="C602" s="139" t="s">
        <v>872</v>
      </c>
      <c r="D602" s="139" t="s">
        <v>162</v>
      </c>
      <c r="E602" s="139" t="s">
        <v>100</v>
      </c>
      <c r="F602" s="129">
        <v>20459.189999999999</v>
      </c>
      <c r="G602" s="140">
        <v>0.19</v>
      </c>
      <c r="H602" s="72"/>
      <c r="I602" s="146"/>
      <c r="J602" s="130">
        <f t="shared" si="9"/>
        <v>20459.189999999999</v>
      </c>
    </row>
    <row r="603" spans="1:11">
      <c r="A603" s="139" t="s">
        <v>1418</v>
      </c>
      <c r="B603" s="139" t="s">
        <v>515</v>
      </c>
      <c r="C603" s="139" t="s">
        <v>872</v>
      </c>
      <c r="D603" s="139" t="s">
        <v>162</v>
      </c>
      <c r="E603" s="139" t="s">
        <v>100</v>
      </c>
      <c r="F603" s="129">
        <v>-1671225.71</v>
      </c>
      <c r="G603" s="140">
        <v>-1685523.94</v>
      </c>
      <c r="H603" s="72"/>
      <c r="I603" s="146"/>
      <c r="J603" s="130">
        <f t="shared" si="9"/>
        <v>-1671225.71</v>
      </c>
    </row>
    <row r="604" spans="1:11">
      <c r="A604" s="139" t="s">
        <v>1419</v>
      </c>
      <c r="B604" s="139" t="s">
        <v>1420</v>
      </c>
      <c r="C604" s="139" t="s">
        <v>872</v>
      </c>
      <c r="D604" s="139" t="s">
        <v>169</v>
      </c>
      <c r="E604" s="139" t="s">
        <v>1421</v>
      </c>
      <c r="F604" s="129">
        <v>-1650766.52</v>
      </c>
      <c r="G604" s="140">
        <v>-1684615.75</v>
      </c>
      <c r="H604" s="72"/>
      <c r="I604" s="146"/>
      <c r="J604" s="130"/>
    </row>
    <row r="605" spans="1:11">
      <c r="A605" s="139" t="s">
        <v>1422</v>
      </c>
      <c r="B605" s="139" t="s">
        <v>1423</v>
      </c>
      <c r="C605" s="139" t="s">
        <v>872</v>
      </c>
      <c r="D605" s="139" t="s">
        <v>157</v>
      </c>
      <c r="E605" s="139" t="s">
        <v>100</v>
      </c>
      <c r="F605" s="129">
        <v>0</v>
      </c>
      <c r="G605" s="140">
        <v>0</v>
      </c>
      <c r="H605" s="72"/>
      <c r="I605" s="146"/>
      <c r="J605" s="130"/>
    </row>
    <row r="606" spans="1:11">
      <c r="A606" s="139" t="s">
        <v>1424</v>
      </c>
      <c r="B606" s="139" t="s">
        <v>1425</v>
      </c>
      <c r="C606" s="139" t="s">
        <v>872</v>
      </c>
      <c r="D606" s="139" t="s">
        <v>162</v>
      </c>
      <c r="E606" s="139" t="s">
        <v>100</v>
      </c>
      <c r="F606" s="129">
        <v>0</v>
      </c>
      <c r="G606" s="140">
        <v>0</v>
      </c>
      <c r="H606" s="72"/>
      <c r="I606" s="146"/>
      <c r="J606" s="130">
        <f t="shared" si="9"/>
        <v>0</v>
      </c>
    </row>
    <row r="607" spans="1:11">
      <c r="A607" s="139" t="s">
        <v>1426</v>
      </c>
      <c r="B607" s="139" t="s">
        <v>1427</v>
      </c>
      <c r="C607" s="139" t="s">
        <v>872</v>
      </c>
      <c r="D607" s="139" t="s">
        <v>162</v>
      </c>
      <c r="E607" s="139" t="s">
        <v>100</v>
      </c>
      <c r="F607" s="129">
        <v>0</v>
      </c>
      <c r="G607" s="140">
        <v>-5094</v>
      </c>
      <c r="H607" s="72">
        <v>4489</v>
      </c>
      <c r="I607" s="146"/>
      <c r="J607" s="130">
        <f>+F607+H607</f>
        <v>4489</v>
      </c>
    </row>
    <row r="608" spans="1:11">
      <c r="A608" s="139" t="s">
        <v>1428</v>
      </c>
      <c r="B608" s="139" t="s">
        <v>1429</v>
      </c>
      <c r="C608" s="139" t="s">
        <v>872</v>
      </c>
      <c r="D608" s="139" t="s">
        <v>162</v>
      </c>
      <c r="E608" s="139" t="s">
        <v>100</v>
      </c>
      <c r="F608" s="129">
        <v>-12799.94</v>
      </c>
      <c r="G608" s="140">
        <v>-7669.94</v>
      </c>
      <c r="H608" s="72"/>
      <c r="I608" s="146"/>
      <c r="J608" s="130">
        <f t="shared" si="9"/>
        <v>-12799.94</v>
      </c>
    </row>
    <row r="609" spans="1:10">
      <c r="A609" s="139" t="s">
        <v>1430</v>
      </c>
      <c r="B609" s="139" t="s">
        <v>1431</v>
      </c>
      <c r="C609" s="139" t="s">
        <v>872</v>
      </c>
      <c r="D609" s="139" t="s">
        <v>162</v>
      </c>
      <c r="E609" s="139" t="s">
        <v>100</v>
      </c>
      <c r="F609" s="129">
        <v>0</v>
      </c>
      <c r="G609" s="140">
        <v>0</v>
      </c>
      <c r="H609" s="72"/>
      <c r="I609" s="146"/>
      <c r="J609" s="130">
        <f t="shared" si="9"/>
        <v>0</v>
      </c>
    </row>
    <row r="610" spans="1:10">
      <c r="A610" s="139" t="s">
        <v>1432</v>
      </c>
      <c r="B610" s="139" t="s">
        <v>1433</v>
      </c>
      <c r="C610" s="139" t="s">
        <v>156</v>
      </c>
      <c r="D610" s="139" t="s">
        <v>162</v>
      </c>
      <c r="E610" s="139" t="s">
        <v>100</v>
      </c>
      <c r="F610" s="129">
        <v>120521.9</v>
      </c>
      <c r="G610" s="140">
        <v>122521.9</v>
      </c>
      <c r="H610" s="72"/>
      <c r="I610" s="146"/>
      <c r="J610" s="130">
        <f t="shared" si="9"/>
        <v>120521.9</v>
      </c>
    </row>
    <row r="611" spans="1:10">
      <c r="A611" s="139" t="s">
        <v>1434</v>
      </c>
      <c r="B611" s="139" t="s">
        <v>1435</v>
      </c>
      <c r="C611" s="139" t="s">
        <v>156</v>
      </c>
      <c r="D611" s="139" t="s">
        <v>162</v>
      </c>
      <c r="E611" s="139" t="s">
        <v>100</v>
      </c>
      <c r="F611" s="129">
        <v>-120521.9</v>
      </c>
      <c r="G611" s="140">
        <v>-122521.9</v>
      </c>
      <c r="H611" s="72"/>
      <c r="I611" s="146"/>
      <c r="J611" s="130">
        <f t="shared" si="9"/>
        <v>-120521.9</v>
      </c>
    </row>
    <row r="612" spans="1:10">
      <c r="A612" s="139" t="s">
        <v>1436</v>
      </c>
      <c r="B612" s="139" t="s">
        <v>1437</v>
      </c>
      <c r="C612" s="139" t="s">
        <v>872</v>
      </c>
      <c r="D612" s="139" t="s">
        <v>162</v>
      </c>
      <c r="E612" s="139" t="s">
        <v>100</v>
      </c>
      <c r="F612" s="129">
        <v>0</v>
      </c>
      <c r="G612" s="140">
        <v>-45778</v>
      </c>
      <c r="H612" s="72"/>
      <c r="I612" s="146"/>
      <c r="J612" s="130">
        <f t="shared" si="9"/>
        <v>0</v>
      </c>
    </row>
    <row r="613" spans="1:10">
      <c r="A613" s="139" t="s">
        <v>1438</v>
      </c>
      <c r="B613" s="139" t="s">
        <v>1439</v>
      </c>
      <c r="C613" s="139" t="s">
        <v>872</v>
      </c>
      <c r="D613" s="139" t="s">
        <v>169</v>
      </c>
      <c r="E613" s="139" t="s">
        <v>1440</v>
      </c>
      <c r="F613" s="129">
        <v>-12799.94</v>
      </c>
      <c r="G613" s="140">
        <v>-58541.94</v>
      </c>
      <c r="H613" s="72"/>
      <c r="I613" s="146"/>
      <c r="J613" s="130"/>
    </row>
    <row r="614" spans="1:10">
      <c r="A614" s="139" t="s">
        <v>1441</v>
      </c>
      <c r="B614" s="139" t="s">
        <v>1442</v>
      </c>
      <c r="C614" s="139" t="s">
        <v>872</v>
      </c>
      <c r="D614" s="139" t="s">
        <v>169</v>
      </c>
      <c r="E614" s="139" t="s">
        <v>1443</v>
      </c>
      <c r="F614" s="129">
        <v>-3284567.38</v>
      </c>
      <c r="G614" s="140">
        <v>-2757514.02</v>
      </c>
      <c r="H614" s="72"/>
      <c r="I614" s="146"/>
      <c r="J614" s="130"/>
    </row>
    <row r="615" spans="1:10">
      <c r="A615" s="139" t="s">
        <v>1444</v>
      </c>
      <c r="B615" s="139" t="s">
        <v>1445</v>
      </c>
      <c r="C615" s="139" t="s">
        <v>872</v>
      </c>
      <c r="D615" s="139" t="s">
        <v>169</v>
      </c>
      <c r="E615" s="139" t="s">
        <v>1446</v>
      </c>
      <c r="F615" s="129">
        <v>-72610751.510000005</v>
      </c>
      <c r="G615" s="140">
        <v>-72014867.510000005</v>
      </c>
      <c r="H615" s="72"/>
      <c r="I615" s="146"/>
      <c r="J615" s="130"/>
    </row>
    <row r="616" spans="1:10">
      <c r="H616">
        <f>SUM(H3:H615)</f>
        <v>0</v>
      </c>
      <c r="I616">
        <f>SUM(I3:I615)</f>
        <v>-2.0463630789890885E-12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A1EDD-683E-46F9-93C8-C3A31365ECEA}">
  <dimension ref="A1:P615"/>
  <sheetViews>
    <sheetView topLeftCell="E187" workbookViewId="0">
      <selection activeCell="F175" sqref="F175"/>
    </sheetView>
  </sheetViews>
  <sheetFormatPr baseColWidth="10" defaultColWidth="8.5" defaultRowHeight="14"/>
  <cols>
    <col min="1" max="1" width="11" bestFit="1" customWidth="1"/>
    <col min="2" max="2" width="34.5" bestFit="1" customWidth="1"/>
    <col min="3" max="3" width="16" bestFit="1" customWidth="1"/>
    <col min="4" max="4" width="8" bestFit="1" customWidth="1"/>
    <col min="5" max="5" width="15" bestFit="1" customWidth="1"/>
    <col min="6" max="6" width="14" bestFit="1" customWidth="1"/>
    <col min="7" max="7" width="12.5" bestFit="1" customWidth="1"/>
    <col min="8" max="8" width="10" style="3" bestFit="1" customWidth="1"/>
    <col min="9" max="9" width="11" bestFit="1" customWidth="1"/>
    <col min="11" max="11" width="10.5" customWidth="1"/>
    <col min="12" max="12" width="19.5" customWidth="1"/>
    <col min="13" max="13" width="12.5" bestFit="1" customWidth="1"/>
    <col min="14" max="14" width="13" bestFit="1" customWidth="1"/>
    <col min="15" max="15" width="12.5" bestFit="1" customWidth="1"/>
    <col min="16" max="16" width="11" bestFit="1" customWidth="1"/>
  </cols>
  <sheetData>
    <row r="1" spans="1:8" ht="16">
      <c r="A1" s="137" t="s">
        <v>146</v>
      </c>
      <c r="B1" s="136"/>
      <c r="C1" s="136"/>
      <c r="D1" s="136"/>
      <c r="E1" s="136"/>
      <c r="F1" s="125">
        <v>43830</v>
      </c>
    </row>
    <row r="2" spans="1:8" ht="24">
      <c r="A2" s="138" t="s">
        <v>147</v>
      </c>
      <c r="B2" s="138" t="s">
        <v>148</v>
      </c>
      <c r="C2" s="138" t="s">
        <v>149</v>
      </c>
      <c r="D2" s="138" t="s">
        <v>150</v>
      </c>
      <c r="E2" s="138" t="s">
        <v>151</v>
      </c>
      <c r="F2" s="138" t="s">
        <v>152</v>
      </c>
      <c r="H2" s="117" t="s">
        <v>110</v>
      </c>
    </row>
    <row r="3" spans="1:8">
      <c r="A3" s="139" t="s">
        <v>154</v>
      </c>
      <c r="B3" s="139" t="s">
        <v>155</v>
      </c>
      <c r="C3" s="139" t="s">
        <v>156</v>
      </c>
      <c r="D3" s="139" t="s">
        <v>157</v>
      </c>
      <c r="E3" s="139" t="s">
        <v>100</v>
      </c>
      <c r="F3" s="115">
        <v>0</v>
      </c>
      <c r="G3" s="116"/>
      <c r="H3" s="32"/>
    </row>
    <row r="4" spans="1:8">
      <c r="A4" s="139" t="s">
        <v>158</v>
      </c>
      <c r="B4" s="139" t="s">
        <v>159</v>
      </c>
      <c r="C4" s="139" t="s">
        <v>156</v>
      </c>
      <c r="D4" s="139" t="s">
        <v>157</v>
      </c>
      <c r="E4" s="139" t="s">
        <v>100</v>
      </c>
      <c r="F4" s="115">
        <v>0</v>
      </c>
      <c r="G4" s="116"/>
      <c r="H4" s="32"/>
    </row>
    <row r="5" spans="1:8">
      <c r="A5" s="139" t="s">
        <v>160</v>
      </c>
      <c r="B5" s="139" t="s">
        <v>161</v>
      </c>
      <c r="C5" s="139" t="s">
        <v>156</v>
      </c>
      <c r="D5" s="139" t="s">
        <v>162</v>
      </c>
      <c r="E5" s="139" t="s">
        <v>100</v>
      </c>
      <c r="F5" s="115">
        <v>-7578812.5</v>
      </c>
      <c r="G5" s="116"/>
      <c r="H5" s="32">
        <f>SUM(F5:G5)</f>
        <v>-7578812.5</v>
      </c>
    </row>
    <row r="6" spans="1:8">
      <c r="A6" s="139" t="s">
        <v>163</v>
      </c>
      <c r="B6" s="139" t="s">
        <v>164</v>
      </c>
      <c r="C6" s="139" t="s">
        <v>156</v>
      </c>
      <c r="D6" s="139" t="s">
        <v>162</v>
      </c>
      <c r="E6" s="139" t="s">
        <v>100</v>
      </c>
      <c r="F6" s="115">
        <v>-274527.5</v>
      </c>
      <c r="G6" s="116"/>
      <c r="H6" s="32">
        <f t="shared" ref="H6:H69" si="0">SUM(F6:G6)</f>
        <v>-274527.5</v>
      </c>
    </row>
    <row r="7" spans="1:8">
      <c r="A7" s="139" t="s">
        <v>165</v>
      </c>
      <c r="B7" s="139" t="s">
        <v>166</v>
      </c>
      <c r="C7" s="139" t="s">
        <v>156</v>
      </c>
      <c r="D7" s="139" t="s">
        <v>162</v>
      </c>
      <c r="E7" s="139" t="s">
        <v>100</v>
      </c>
      <c r="F7" s="115">
        <v>-45748.57</v>
      </c>
      <c r="G7" s="116"/>
      <c r="H7" s="32">
        <f t="shared" si="0"/>
        <v>-45748.57</v>
      </c>
    </row>
    <row r="8" spans="1:8">
      <c r="A8" s="139" t="s">
        <v>167</v>
      </c>
      <c r="B8" s="139" t="s">
        <v>168</v>
      </c>
      <c r="C8" s="139" t="s">
        <v>156</v>
      </c>
      <c r="D8" s="139" t="s">
        <v>169</v>
      </c>
      <c r="E8" s="139" t="s">
        <v>170</v>
      </c>
      <c r="F8" s="115">
        <v>-7899088.5700000003</v>
      </c>
      <c r="G8" s="116"/>
      <c r="H8" s="32"/>
    </row>
    <row r="9" spans="1:8">
      <c r="A9" s="139" t="s">
        <v>171</v>
      </c>
      <c r="B9" s="139" t="s">
        <v>172</v>
      </c>
      <c r="C9" s="139" t="s">
        <v>156</v>
      </c>
      <c r="D9" s="139" t="s">
        <v>157</v>
      </c>
      <c r="E9" s="139" t="s">
        <v>100</v>
      </c>
      <c r="F9" s="115">
        <v>0</v>
      </c>
      <c r="G9" s="116"/>
      <c r="H9" s="32"/>
    </row>
    <row r="10" spans="1:8">
      <c r="A10" s="139" t="s">
        <v>173</v>
      </c>
      <c r="B10" s="139" t="s">
        <v>174</v>
      </c>
      <c r="C10" s="139" t="s">
        <v>156</v>
      </c>
      <c r="D10" s="139" t="s">
        <v>162</v>
      </c>
      <c r="E10" s="139" t="s">
        <v>100</v>
      </c>
      <c r="F10" s="115">
        <v>-7262292</v>
      </c>
      <c r="G10" s="116"/>
      <c r="H10" s="32">
        <f t="shared" si="0"/>
        <v>-7262292</v>
      </c>
    </row>
    <row r="11" spans="1:8">
      <c r="A11" s="139" t="s">
        <v>175</v>
      </c>
      <c r="B11" s="139" t="s">
        <v>176</v>
      </c>
      <c r="C11" s="139" t="s">
        <v>156</v>
      </c>
      <c r="D11" s="139" t="s">
        <v>162</v>
      </c>
      <c r="E11" s="139" t="s">
        <v>100</v>
      </c>
      <c r="F11" s="115">
        <v>-233382.89</v>
      </c>
      <c r="G11" s="116"/>
      <c r="H11" s="32">
        <f t="shared" si="0"/>
        <v>-233382.89</v>
      </c>
    </row>
    <row r="12" spans="1:8">
      <c r="A12" s="139" t="s">
        <v>177</v>
      </c>
      <c r="B12" s="139" t="s">
        <v>178</v>
      </c>
      <c r="C12" s="139" t="s">
        <v>156</v>
      </c>
      <c r="D12" s="139" t="s">
        <v>162</v>
      </c>
      <c r="E12" s="139" t="s">
        <v>100</v>
      </c>
      <c r="F12" s="115">
        <v>-228671.77</v>
      </c>
      <c r="G12" s="116"/>
      <c r="H12" s="32">
        <f t="shared" si="0"/>
        <v>-228671.77</v>
      </c>
    </row>
    <row r="13" spans="1:8">
      <c r="A13" s="139" t="s">
        <v>179</v>
      </c>
      <c r="B13" s="139" t="s">
        <v>180</v>
      </c>
      <c r="C13" s="139" t="s">
        <v>156</v>
      </c>
      <c r="D13" s="139" t="s">
        <v>162</v>
      </c>
      <c r="E13" s="139" t="s">
        <v>100</v>
      </c>
      <c r="F13" s="115">
        <v>215651</v>
      </c>
      <c r="G13" s="116"/>
      <c r="H13" s="32">
        <f t="shared" si="0"/>
        <v>215651</v>
      </c>
    </row>
    <row r="14" spans="1:8">
      <c r="A14" s="139" t="s">
        <v>183</v>
      </c>
      <c r="B14" s="139" t="s">
        <v>184</v>
      </c>
      <c r="C14" s="139" t="s">
        <v>156</v>
      </c>
      <c r="D14" s="139" t="s">
        <v>162</v>
      </c>
      <c r="E14" s="139" t="s">
        <v>100</v>
      </c>
      <c r="F14" s="115">
        <v>-468863</v>
      </c>
      <c r="G14" s="116"/>
      <c r="H14" s="32">
        <f t="shared" si="0"/>
        <v>-468863</v>
      </c>
    </row>
    <row r="15" spans="1:8">
      <c r="A15" s="139" t="s">
        <v>185</v>
      </c>
      <c r="B15" s="139" t="s">
        <v>186</v>
      </c>
      <c r="C15" s="139" t="s">
        <v>156</v>
      </c>
      <c r="D15" s="139" t="s">
        <v>169</v>
      </c>
      <c r="E15" s="139" t="s">
        <v>187</v>
      </c>
      <c r="F15" s="115">
        <v>-7977558.6600000001</v>
      </c>
      <c r="G15" s="116"/>
      <c r="H15" s="32"/>
    </row>
    <row r="16" spans="1:8">
      <c r="A16" s="139" t="s">
        <v>188</v>
      </c>
      <c r="B16" s="139" t="s">
        <v>189</v>
      </c>
      <c r="C16" s="139" t="s">
        <v>156</v>
      </c>
      <c r="D16" s="139" t="s">
        <v>157</v>
      </c>
      <c r="E16" s="139" t="s">
        <v>100</v>
      </c>
      <c r="F16" s="115">
        <v>0</v>
      </c>
      <c r="G16" s="116"/>
      <c r="H16" s="32"/>
    </row>
    <row r="17" spans="1:8">
      <c r="A17" s="139" t="s">
        <v>190</v>
      </c>
      <c r="B17" s="139" t="s">
        <v>191</v>
      </c>
      <c r="C17" s="139" t="s">
        <v>156</v>
      </c>
      <c r="D17" s="139" t="s">
        <v>157</v>
      </c>
      <c r="E17" s="139" t="s">
        <v>100</v>
      </c>
      <c r="F17" s="115">
        <v>0</v>
      </c>
      <c r="G17" s="116"/>
      <c r="H17" s="32"/>
    </row>
    <row r="18" spans="1:8">
      <c r="A18" s="139" t="s">
        <v>192</v>
      </c>
      <c r="B18" s="139" t="s">
        <v>193</v>
      </c>
      <c r="C18" s="139" t="s">
        <v>156</v>
      </c>
      <c r="D18" s="139" t="s">
        <v>162</v>
      </c>
      <c r="E18" s="139" t="s">
        <v>100</v>
      </c>
      <c r="F18" s="115">
        <v>0</v>
      </c>
      <c r="G18" s="116">
        <f>746479.5+20053</f>
        <v>766532.5</v>
      </c>
      <c r="H18" s="32">
        <f t="shared" si="0"/>
        <v>766532.5</v>
      </c>
    </row>
    <row r="19" spans="1:8">
      <c r="A19" s="139" t="s">
        <v>194</v>
      </c>
      <c r="B19" s="139" t="s">
        <v>195</v>
      </c>
      <c r="C19" s="139" t="s">
        <v>156</v>
      </c>
      <c r="D19" s="139" t="s">
        <v>169</v>
      </c>
      <c r="E19" s="139" t="s">
        <v>196</v>
      </c>
      <c r="F19" s="115">
        <v>0</v>
      </c>
      <c r="G19" s="116"/>
      <c r="H19" s="32"/>
    </row>
    <row r="20" spans="1:8">
      <c r="A20" s="139" t="s">
        <v>197</v>
      </c>
      <c r="B20" s="139" t="s">
        <v>198</v>
      </c>
      <c r="C20" s="139" t="s">
        <v>156</v>
      </c>
      <c r="D20" s="139" t="s">
        <v>157</v>
      </c>
      <c r="E20" s="139" t="s">
        <v>100</v>
      </c>
      <c r="F20" s="115">
        <v>0</v>
      </c>
      <c r="G20" s="116"/>
      <c r="H20" s="32">
        <f t="shared" si="0"/>
        <v>0</v>
      </c>
    </row>
    <row r="21" spans="1:8">
      <c r="A21" s="139" t="s">
        <v>199</v>
      </c>
      <c r="B21" s="139" t="s">
        <v>200</v>
      </c>
      <c r="C21" s="139" t="s">
        <v>156</v>
      </c>
      <c r="D21" s="139" t="s">
        <v>162</v>
      </c>
      <c r="E21" s="139" t="s">
        <v>100</v>
      </c>
      <c r="F21" s="115">
        <v>-629080.56999999995</v>
      </c>
      <c r="G21" s="116"/>
      <c r="H21" s="32">
        <f t="shared" si="0"/>
        <v>-629080.56999999995</v>
      </c>
    </row>
    <row r="22" spans="1:8">
      <c r="A22" s="139" t="s">
        <v>201</v>
      </c>
      <c r="B22" s="139" t="s">
        <v>202</v>
      </c>
      <c r="C22" s="139" t="s">
        <v>156</v>
      </c>
      <c r="D22" s="139" t="s">
        <v>162</v>
      </c>
      <c r="E22" s="139" t="s">
        <v>100</v>
      </c>
      <c r="F22" s="115">
        <v>0</v>
      </c>
      <c r="G22" s="116"/>
      <c r="H22" s="32">
        <f t="shared" si="0"/>
        <v>0</v>
      </c>
    </row>
    <row r="23" spans="1:8">
      <c r="A23" s="139" t="s">
        <v>203</v>
      </c>
      <c r="B23" s="139" t="s">
        <v>2149</v>
      </c>
      <c r="C23" s="139" t="s">
        <v>156</v>
      </c>
      <c r="D23" s="139" t="s">
        <v>162</v>
      </c>
      <c r="E23" s="139" t="s">
        <v>100</v>
      </c>
      <c r="F23" s="115">
        <v>92555.45</v>
      </c>
      <c r="G23" s="116"/>
      <c r="H23" s="32">
        <f t="shared" si="0"/>
        <v>92555.45</v>
      </c>
    </row>
    <row r="24" spans="1:8">
      <c r="A24" s="139" t="s">
        <v>207</v>
      </c>
      <c r="B24" s="139" t="s">
        <v>208</v>
      </c>
      <c r="C24" s="139" t="s">
        <v>156</v>
      </c>
      <c r="D24" s="139" t="s">
        <v>162</v>
      </c>
      <c r="E24" s="139" t="s">
        <v>100</v>
      </c>
      <c r="F24" s="115">
        <v>218797.54</v>
      </c>
      <c r="G24" s="116"/>
      <c r="H24" s="32">
        <f t="shared" si="0"/>
        <v>218797.54</v>
      </c>
    </row>
    <row r="25" spans="1:8">
      <c r="A25" s="139" t="s">
        <v>209</v>
      </c>
      <c r="B25" s="139" t="s">
        <v>210</v>
      </c>
      <c r="C25" s="139" t="s">
        <v>156</v>
      </c>
      <c r="D25" s="139" t="s">
        <v>162</v>
      </c>
      <c r="E25" s="139" t="s">
        <v>100</v>
      </c>
      <c r="F25" s="115">
        <v>198258.25</v>
      </c>
      <c r="G25" s="116"/>
      <c r="H25" s="32">
        <f t="shared" si="0"/>
        <v>198258.25</v>
      </c>
    </row>
    <row r="26" spans="1:8">
      <c r="A26" s="139" t="s">
        <v>211</v>
      </c>
      <c r="B26" s="139" t="s">
        <v>212</v>
      </c>
      <c r="C26" s="139" t="s">
        <v>156</v>
      </c>
      <c r="D26" s="139" t="s">
        <v>162</v>
      </c>
      <c r="E26" s="139" t="s">
        <v>100</v>
      </c>
      <c r="F26" s="115">
        <v>3137.87</v>
      </c>
      <c r="G26" s="116"/>
      <c r="H26" s="32">
        <f t="shared" si="0"/>
        <v>3137.87</v>
      </c>
    </row>
    <row r="27" spans="1:8">
      <c r="A27" s="139" t="s">
        <v>213</v>
      </c>
      <c r="B27" s="139" t="s">
        <v>214</v>
      </c>
      <c r="C27" s="139" t="s">
        <v>156</v>
      </c>
      <c r="D27" s="139" t="s">
        <v>162</v>
      </c>
      <c r="E27" s="139" t="s">
        <v>100</v>
      </c>
      <c r="F27" s="115">
        <v>500</v>
      </c>
      <c r="G27" s="116"/>
      <c r="H27" s="32">
        <f t="shared" si="0"/>
        <v>500</v>
      </c>
    </row>
    <row r="28" spans="1:8">
      <c r="A28" s="139" t="s">
        <v>215</v>
      </c>
      <c r="B28" s="139" t="s">
        <v>216</v>
      </c>
      <c r="C28" s="139" t="s">
        <v>156</v>
      </c>
      <c r="D28" s="139" t="s">
        <v>162</v>
      </c>
      <c r="E28" s="139" t="s">
        <v>100</v>
      </c>
      <c r="F28" s="115">
        <v>0</v>
      </c>
      <c r="G28" s="116"/>
      <c r="H28" s="32">
        <f t="shared" si="0"/>
        <v>0</v>
      </c>
    </row>
    <row r="29" spans="1:8">
      <c r="A29" s="139" t="s">
        <v>217</v>
      </c>
      <c r="B29" s="139" t="s">
        <v>218</v>
      </c>
      <c r="C29" s="139" t="s">
        <v>156</v>
      </c>
      <c r="D29" s="139" t="s">
        <v>162</v>
      </c>
      <c r="E29" s="139" t="s">
        <v>100</v>
      </c>
      <c r="F29" s="115">
        <v>21372.59</v>
      </c>
      <c r="G29" s="116"/>
      <c r="H29" s="32">
        <f t="shared" si="0"/>
        <v>21372.59</v>
      </c>
    </row>
    <row r="30" spans="1:8">
      <c r="A30" s="139" t="s">
        <v>219</v>
      </c>
      <c r="B30" s="139" t="s">
        <v>220</v>
      </c>
      <c r="C30" s="139" t="s">
        <v>156</v>
      </c>
      <c r="D30" s="139" t="s">
        <v>162</v>
      </c>
      <c r="E30" s="139" t="s">
        <v>100</v>
      </c>
      <c r="F30" s="115">
        <v>93505.21</v>
      </c>
      <c r="G30" s="116"/>
      <c r="H30" s="32">
        <f t="shared" si="0"/>
        <v>93505.21</v>
      </c>
    </row>
    <row r="31" spans="1:8">
      <c r="A31" s="139" t="s">
        <v>221</v>
      </c>
      <c r="B31" s="139" t="s">
        <v>222</v>
      </c>
      <c r="C31" s="139" t="s">
        <v>156</v>
      </c>
      <c r="D31" s="139" t="s">
        <v>169</v>
      </c>
      <c r="E31" s="139" t="s">
        <v>223</v>
      </c>
      <c r="F31" s="115">
        <v>-953.66</v>
      </c>
      <c r="G31" s="116"/>
      <c r="H31" s="32"/>
    </row>
    <row r="32" spans="1:8">
      <c r="A32" s="139" t="s">
        <v>224</v>
      </c>
      <c r="B32" s="139" t="s">
        <v>225</v>
      </c>
      <c r="C32" s="139" t="s">
        <v>156</v>
      </c>
      <c r="D32" s="139" t="s">
        <v>157</v>
      </c>
      <c r="E32" s="139" t="s">
        <v>100</v>
      </c>
      <c r="F32" s="115">
        <v>0</v>
      </c>
      <c r="G32" s="116"/>
      <c r="H32" s="32">
        <f t="shared" si="0"/>
        <v>0</v>
      </c>
    </row>
    <row r="33" spans="1:8">
      <c r="A33" s="139" t="s">
        <v>226</v>
      </c>
      <c r="B33" s="139" t="s">
        <v>227</v>
      </c>
      <c r="C33" s="139" t="s">
        <v>156</v>
      </c>
      <c r="D33" s="139" t="s">
        <v>162</v>
      </c>
      <c r="E33" s="139" t="s">
        <v>100</v>
      </c>
      <c r="F33" s="115">
        <v>-2451400</v>
      </c>
      <c r="G33" s="116"/>
      <c r="H33" s="32">
        <f t="shared" si="0"/>
        <v>-2451400</v>
      </c>
    </row>
    <row r="34" spans="1:8">
      <c r="A34" s="139" t="s">
        <v>228</v>
      </c>
      <c r="B34" s="139" t="s">
        <v>229</v>
      </c>
      <c r="C34" s="139" t="s">
        <v>156</v>
      </c>
      <c r="D34" s="139" t="s">
        <v>162</v>
      </c>
      <c r="E34" s="139" t="s">
        <v>100</v>
      </c>
      <c r="F34" s="115">
        <v>141931.25</v>
      </c>
      <c r="G34" s="116"/>
      <c r="H34" s="32">
        <f t="shared" si="0"/>
        <v>141931.25</v>
      </c>
    </row>
    <row r="35" spans="1:8">
      <c r="A35" s="139" t="s">
        <v>230</v>
      </c>
      <c r="B35" s="139" t="s">
        <v>231</v>
      </c>
      <c r="C35" s="139" t="s">
        <v>156</v>
      </c>
      <c r="D35" s="139" t="s">
        <v>162</v>
      </c>
      <c r="E35" s="139" t="s">
        <v>100</v>
      </c>
      <c r="F35" s="115">
        <v>29674.54</v>
      </c>
      <c r="G35" s="116"/>
      <c r="H35" s="32">
        <f t="shared" si="0"/>
        <v>29674.54</v>
      </c>
    </row>
    <row r="36" spans="1:8">
      <c r="A36" s="139" t="s">
        <v>232</v>
      </c>
      <c r="B36" s="139" t="s">
        <v>233</v>
      </c>
      <c r="C36" s="139" t="s">
        <v>156</v>
      </c>
      <c r="D36" s="139" t="s">
        <v>162</v>
      </c>
      <c r="E36" s="139" t="s">
        <v>100</v>
      </c>
      <c r="F36" s="115">
        <v>259864</v>
      </c>
      <c r="G36" s="116"/>
      <c r="H36" s="32">
        <f t="shared" si="0"/>
        <v>259864</v>
      </c>
    </row>
    <row r="37" spans="1:8">
      <c r="A37" s="139" t="s">
        <v>234</v>
      </c>
      <c r="B37" s="139" t="s">
        <v>235</v>
      </c>
      <c r="C37" s="139" t="s">
        <v>156</v>
      </c>
      <c r="D37" s="139" t="s">
        <v>162</v>
      </c>
      <c r="E37" s="139" t="s">
        <v>100</v>
      </c>
      <c r="F37" s="115">
        <v>-29481.1</v>
      </c>
      <c r="G37" s="116"/>
      <c r="H37" s="32">
        <f t="shared" si="0"/>
        <v>-29481.1</v>
      </c>
    </row>
    <row r="38" spans="1:8">
      <c r="A38" s="139" t="s">
        <v>236</v>
      </c>
      <c r="B38" s="139" t="s">
        <v>237</v>
      </c>
      <c r="C38" s="139" t="s">
        <v>156</v>
      </c>
      <c r="D38" s="139" t="s">
        <v>162</v>
      </c>
      <c r="E38" s="139" t="s">
        <v>100</v>
      </c>
      <c r="F38" s="115">
        <v>5000</v>
      </c>
      <c r="G38" s="116"/>
      <c r="H38" s="32">
        <f t="shared" si="0"/>
        <v>5000</v>
      </c>
    </row>
    <row r="39" spans="1:8">
      <c r="A39" s="139" t="s">
        <v>238</v>
      </c>
      <c r="B39" s="139" t="s">
        <v>239</v>
      </c>
      <c r="C39" s="139" t="s">
        <v>156</v>
      </c>
      <c r="D39" s="139" t="s">
        <v>162</v>
      </c>
      <c r="E39" s="139" t="s">
        <v>100</v>
      </c>
      <c r="F39" s="115">
        <v>1943960.2</v>
      </c>
      <c r="G39" s="116"/>
      <c r="H39" s="32">
        <f t="shared" si="0"/>
        <v>1943960.2</v>
      </c>
    </row>
    <row r="40" spans="1:8">
      <c r="A40" s="139" t="s">
        <v>240</v>
      </c>
      <c r="B40" s="139" t="s">
        <v>241</v>
      </c>
      <c r="C40" s="139" t="s">
        <v>156</v>
      </c>
      <c r="D40" s="139" t="s">
        <v>169</v>
      </c>
      <c r="E40" s="139" t="s">
        <v>242</v>
      </c>
      <c r="F40" s="115">
        <v>-100451.11</v>
      </c>
      <c r="G40" s="116"/>
      <c r="H40" s="32"/>
    </row>
    <row r="41" spans="1:8">
      <c r="A41" s="139" t="s">
        <v>243</v>
      </c>
      <c r="B41" s="139" t="s">
        <v>244</v>
      </c>
      <c r="C41" s="139" t="s">
        <v>156</v>
      </c>
      <c r="D41" s="139" t="s">
        <v>157</v>
      </c>
      <c r="E41" s="139" t="s">
        <v>100</v>
      </c>
      <c r="F41" s="115">
        <v>0</v>
      </c>
      <c r="G41" s="116"/>
      <c r="H41" s="32">
        <f t="shared" si="0"/>
        <v>0</v>
      </c>
    </row>
    <row r="42" spans="1:8">
      <c r="A42" s="139" t="s">
        <v>245</v>
      </c>
      <c r="B42" s="139" t="s">
        <v>246</v>
      </c>
      <c r="C42" s="139" t="s">
        <v>156</v>
      </c>
      <c r="D42" s="139" t="s">
        <v>162</v>
      </c>
      <c r="E42" s="139" t="s">
        <v>100</v>
      </c>
      <c r="F42" s="115">
        <v>-1588099.48</v>
      </c>
      <c r="G42" s="116"/>
      <c r="H42" s="32">
        <f t="shared" si="0"/>
        <v>-1588099.48</v>
      </c>
    </row>
    <row r="43" spans="1:8">
      <c r="A43" s="139" t="s">
        <v>247</v>
      </c>
      <c r="B43" s="139" t="s">
        <v>248</v>
      </c>
      <c r="C43" s="139" t="s">
        <v>156</v>
      </c>
      <c r="D43" s="139" t="s">
        <v>169</v>
      </c>
      <c r="E43" s="139" t="s">
        <v>249</v>
      </c>
      <c r="F43" s="115">
        <v>-1588099.48</v>
      </c>
      <c r="G43" s="116"/>
      <c r="H43" s="32"/>
    </row>
    <row r="44" spans="1:8">
      <c r="A44" s="139" t="s">
        <v>250</v>
      </c>
      <c r="B44" s="139" t="s">
        <v>251</v>
      </c>
      <c r="C44" s="139" t="s">
        <v>156</v>
      </c>
      <c r="D44" s="139" t="s">
        <v>169</v>
      </c>
      <c r="E44" s="139" t="s">
        <v>252</v>
      </c>
      <c r="F44" s="115">
        <v>-1689504.25</v>
      </c>
      <c r="G44" s="116"/>
      <c r="H44" s="32"/>
    </row>
    <row r="45" spans="1:8">
      <c r="A45" s="139" t="s">
        <v>253</v>
      </c>
      <c r="B45" s="139" t="s">
        <v>254</v>
      </c>
      <c r="C45" s="139" t="s">
        <v>156</v>
      </c>
      <c r="D45" s="139" t="s">
        <v>157</v>
      </c>
      <c r="E45" s="139" t="s">
        <v>100</v>
      </c>
      <c r="F45" s="115">
        <v>0</v>
      </c>
      <c r="G45" s="116"/>
      <c r="H45" s="32">
        <f t="shared" si="0"/>
        <v>0</v>
      </c>
    </row>
    <row r="46" spans="1:8">
      <c r="A46" s="139" t="s">
        <v>255</v>
      </c>
      <c r="B46" s="139" t="s">
        <v>256</v>
      </c>
      <c r="C46" s="139" t="s">
        <v>156</v>
      </c>
      <c r="D46" s="139" t="s">
        <v>162</v>
      </c>
      <c r="E46" s="139" t="s">
        <v>100</v>
      </c>
      <c r="F46" s="115">
        <v>0</v>
      </c>
      <c r="G46" s="116"/>
      <c r="H46" s="32">
        <f t="shared" si="0"/>
        <v>0</v>
      </c>
    </row>
    <row r="47" spans="1:8">
      <c r="A47" s="139" t="s">
        <v>257</v>
      </c>
      <c r="B47" s="139" t="s">
        <v>258</v>
      </c>
      <c r="C47" s="139" t="s">
        <v>156</v>
      </c>
      <c r="D47" s="139" t="s">
        <v>162</v>
      </c>
      <c r="E47" s="139" t="s">
        <v>100</v>
      </c>
      <c r="F47" s="115">
        <v>0</v>
      </c>
      <c r="G47" s="116"/>
      <c r="H47" s="32">
        <f t="shared" si="0"/>
        <v>0</v>
      </c>
    </row>
    <row r="48" spans="1:8">
      <c r="A48" s="139" t="s">
        <v>259</v>
      </c>
      <c r="B48" s="139" t="s">
        <v>260</v>
      </c>
      <c r="C48" s="139" t="s">
        <v>156</v>
      </c>
      <c r="D48" s="139" t="s">
        <v>162</v>
      </c>
      <c r="E48" s="139" t="s">
        <v>100</v>
      </c>
      <c r="F48" s="115">
        <v>0</v>
      </c>
      <c r="G48" s="116"/>
      <c r="H48" s="32">
        <f t="shared" si="0"/>
        <v>0</v>
      </c>
    </row>
    <row r="49" spans="1:8">
      <c r="A49" s="139" t="s">
        <v>261</v>
      </c>
      <c r="B49" s="139" t="s">
        <v>262</v>
      </c>
      <c r="C49" s="139" t="s">
        <v>156</v>
      </c>
      <c r="D49" s="139" t="s">
        <v>162</v>
      </c>
      <c r="E49" s="139" t="s">
        <v>100</v>
      </c>
      <c r="F49" s="115">
        <v>0</v>
      </c>
      <c r="G49" s="116"/>
      <c r="H49" s="32">
        <f t="shared" si="0"/>
        <v>0</v>
      </c>
    </row>
    <row r="50" spans="1:8">
      <c r="A50" s="139" t="s">
        <v>263</v>
      </c>
      <c r="B50" s="139" t="s">
        <v>264</v>
      </c>
      <c r="C50" s="139" t="s">
        <v>156</v>
      </c>
      <c r="D50" s="139" t="s">
        <v>162</v>
      </c>
      <c r="E50" s="139" t="s">
        <v>100</v>
      </c>
      <c r="F50" s="115">
        <v>-7566.32</v>
      </c>
      <c r="G50" s="116"/>
      <c r="H50" s="32">
        <f t="shared" si="0"/>
        <v>-7566.32</v>
      </c>
    </row>
    <row r="51" spans="1:8">
      <c r="A51" s="139" t="s">
        <v>265</v>
      </c>
      <c r="B51" s="139" t="s">
        <v>266</v>
      </c>
      <c r="C51" s="139" t="s">
        <v>156</v>
      </c>
      <c r="D51" s="139" t="s">
        <v>162</v>
      </c>
      <c r="E51" s="139" t="s">
        <v>100</v>
      </c>
      <c r="F51" s="115">
        <v>17992.48</v>
      </c>
      <c r="G51" s="116"/>
      <c r="H51" s="32">
        <f t="shared" si="0"/>
        <v>17992.48</v>
      </c>
    </row>
    <row r="52" spans="1:8">
      <c r="A52" s="139" t="s">
        <v>267</v>
      </c>
      <c r="B52" s="139" t="s">
        <v>268</v>
      </c>
      <c r="C52" s="139" t="s">
        <v>156</v>
      </c>
      <c r="D52" s="139" t="s">
        <v>162</v>
      </c>
      <c r="E52" s="139" t="s">
        <v>100</v>
      </c>
      <c r="F52" s="115">
        <v>-9395.9699999999993</v>
      </c>
      <c r="G52" s="116"/>
      <c r="H52" s="32">
        <f t="shared" si="0"/>
        <v>-9395.9699999999993</v>
      </c>
    </row>
    <row r="53" spans="1:8">
      <c r="A53" s="139" t="s">
        <v>269</v>
      </c>
      <c r="B53" s="139" t="s">
        <v>270</v>
      </c>
      <c r="C53" s="139" t="s">
        <v>156</v>
      </c>
      <c r="D53" s="139" t="s">
        <v>162</v>
      </c>
      <c r="E53" s="139" t="s">
        <v>100</v>
      </c>
      <c r="F53" s="115">
        <v>-63961.599999999999</v>
      </c>
      <c r="G53" s="116"/>
      <c r="H53" s="32">
        <f t="shared" si="0"/>
        <v>-63961.599999999999</v>
      </c>
    </row>
    <row r="54" spans="1:8">
      <c r="A54" s="139" t="s">
        <v>271</v>
      </c>
      <c r="B54" s="139" t="s">
        <v>272</v>
      </c>
      <c r="C54" s="139" t="s">
        <v>156</v>
      </c>
      <c r="D54" s="139" t="s">
        <v>162</v>
      </c>
      <c r="E54" s="139" t="s">
        <v>100</v>
      </c>
      <c r="F54" s="115">
        <v>0</v>
      </c>
      <c r="G54" s="116"/>
      <c r="H54" s="32">
        <f t="shared" si="0"/>
        <v>0</v>
      </c>
    </row>
    <row r="55" spans="1:8">
      <c r="A55" s="139" t="s">
        <v>273</v>
      </c>
      <c r="B55" s="139" t="s">
        <v>274</v>
      </c>
      <c r="C55" s="139" t="s">
        <v>156</v>
      </c>
      <c r="D55" s="139" t="s">
        <v>162</v>
      </c>
      <c r="E55" s="139" t="s">
        <v>100</v>
      </c>
      <c r="F55" s="115">
        <v>1383.12</v>
      </c>
      <c r="G55" s="116"/>
      <c r="H55" s="32">
        <f t="shared" si="0"/>
        <v>1383.12</v>
      </c>
    </row>
    <row r="56" spans="1:8">
      <c r="A56" s="139" t="s">
        <v>275</v>
      </c>
      <c r="B56" s="139" t="s">
        <v>254</v>
      </c>
      <c r="C56" s="139" t="s">
        <v>156</v>
      </c>
      <c r="D56" s="139" t="s">
        <v>169</v>
      </c>
      <c r="E56" s="139" t="s">
        <v>276</v>
      </c>
      <c r="F56" s="115">
        <v>-61548.29</v>
      </c>
      <c r="G56" s="116"/>
      <c r="H56" s="32"/>
    </row>
    <row r="57" spans="1:8">
      <c r="A57" s="139" t="s">
        <v>277</v>
      </c>
      <c r="B57" s="139" t="s">
        <v>278</v>
      </c>
      <c r="C57" s="139" t="s">
        <v>156</v>
      </c>
      <c r="D57" s="139" t="s">
        <v>169</v>
      </c>
      <c r="E57" s="139" t="s">
        <v>279</v>
      </c>
      <c r="F57" s="115">
        <v>-17627699.77</v>
      </c>
      <c r="G57" s="116"/>
      <c r="H57" s="32"/>
    </row>
    <row r="58" spans="1:8">
      <c r="A58" s="139" t="s">
        <v>280</v>
      </c>
      <c r="B58" s="139" t="s">
        <v>281</v>
      </c>
      <c r="C58" s="139" t="s">
        <v>156</v>
      </c>
      <c r="D58" s="139" t="s">
        <v>157</v>
      </c>
      <c r="E58" s="139" t="s">
        <v>100</v>
      </c>
      <c r="F58" s="115">
        <v>0</v>
      </c>
      <c r="G58" s="116"/>
      <c r="H58" s="32"/>
    </row>
    <row r="59" spans="1:8">
      <c r="A59" s="139" t="s">
        <v>282</v>
      </c>
      <c r="B59" s="139" t="s">
        <v>281</v>
      </c>
      <c r="C59" s="139" t="s">
        <v>156</v>
      </c>
      <c r="D59" s="139" t="s">
        <v>157</v>
      </c>
      <c r="E59" s="139" t="s">
        <v>100</v>
      </c>
      <c r="F59" s="115">
        <v>0</v>
      </c>
      <c r="G59" s="116"/>
      <c r="H59" s="32"/>
    </row>
    <row r="60" spans="1:8">
      <c r="A60" s="139" t="s">
        <v>283</v>
      </c>
      <c r="B60" s="139" t="s">
        <v>284</v>
      </c>
      <c r="C60" s="139" t="s">
        <v>156</v>
      </c>
      <c r="D60" s="139" t="s">
        <v>157</v>
      </c>
      <c r="E60" s="139" t="s">
        <v>100</v>
      </c>
      <c r="F60" s="115">
        <v>0</v>
      </c>
      <c r="G60" s="116"/>
      <c r="H60" s="32"/>
    </row>
    <row r="61" spans="1:8">
      <c r="A61" s="139" t="s">
        <v>285</v>
      </c>
      <c r="B61" s="139" t="s">
        <v>286</v>
      </c>
      <c r="C61" s="139" t="s">
        <v>156</v>
      </c>
      <c r="D61" s="139" t="s">
        <v>157</v>
      </c>
      <c r="E61" s="139" t="s">
        <v>100</v>
      </c>
      <c r="F61" s="115">
        <v>0</v>
      </c>
      <c r="G61" s="116"/>
      <c r="H61" s="32"/>
    </row>
    <row r="62" spans="1:8">
      <c r="A62" s="139" t="s">
        <v>287</v>
      </c>
      <c r="B62" s="139" t="s">
        <v>288</v>
      </c>
      <c r="C62" s="139" t="s">
        <v>156</v>
      </c>
      <c r="D62" s="139" t="s">
        <v>162</v>
      </c>
      <c r="E62" s="139" t="s">
        <v>100</v>
      </c>
      <c r="F62" s="115">
        <v>7524504.7300000004</v>
      </c>
      <c r="G62" s="116"/>
      <c r="H62" s="32">
        <f t="shared" si="0"/>
        <v>7524504.7300000004</v>
      </c>
    </row>
    <row r="63" spans="1:8">
      <c r="A63" s="139" t="s">
        <v>289</v>
      </c>
      <c r="B63" s="139" t="s">
        <v>290</v>
      </c>
      <c r="C63" s="139" t="s">
        <v>156</v>
      </c>
      <c r="D63" s="139" t="s">
        <v>162</v>
      </c>
      <c r="E63" s="139" t="s">
        <v>100</v>
      </c>
      <c r="F63" s="115">
        <v>771.74</v>
      </c>
      <c r="G63" s="116"/>
      <c r="H63" s="32">
        <f t="shared" si="0"/>
        <v>771.74</v>
      </c>
    </row>
    <row r="64" spans="1:8">
      <c r="A64" s="139" t="s">
        <v>291</v>
      </c>
      <c r="B64" s="139" t="s">
        <v>292</v>
      </c>
      <c r="C64" s="139" t="s">
        <v>156</v>
      </c>
      <c r="D64" s="139" t="s">
        <v>162</v>
      </c>
      <c r="E64" s="139" t="s">
        <v>100</v>
      </c>
      <c r="F64" s="115">
        <v>0</v>
      </c>
      <c r="G64" s="116"/>
      <c r="H64" s="32">
        <f t="shared" si="0"/>
        <v>0</v>
      </c>
    </row>
    <row r="65" spans="1:8">
      <c r="A65" s="139" t="s">
        <v>293</v>
      </c>
      <c r="B65" s="139" t="s">
        <v>294</v>
      </c>
      <c r="C65" s="139" t="s">
        <v>156</v>
      </c>
      <c r="D65" s="139" t="s">
        <v>162</v>
      </c>
      <c r="E65" s="139" t="s">
        <v>100</v>
      </c>
      <c r="F65" s="115">
        <v>-46789.1</v>
      </c>
      <c r="G65" s="116"/>
      <c r="H65" s="32">
        <f t="shared" si="0"/>
        <v>-46789.1</v>
      </c>
    </row>
    <row r="66" spans="1:8">
      <c r="A66" s="139" t="s">
        <v>295</v>
      </c>
      <c r="B66" s="139" t="s">
        <v>296</v>
      </c>
      <c r="C66" s="139" t="s">
        <v>156</v>
      </c>
      <c r="D66" s="139" t="s">
        <v>162</v>
      </c>
      <c r="E66" s="139" t="s">
        <v>100</v>
      </c>
      <c r="F66" s="115">
        <v>390734.47</v>
      </c>
      <c r="G66" s="116"/>
      <c r="H66" s="32">
        <f t="shared" si="0"/>
        <v>390734.47</v>
      </c>
    </row>
    <row r="67" spans="1:8">
      <c r="A67" s="139" t="s">
        <v>297</v>
      </c>
      <c r="B67" s="139" t="s">
        <v>298</v>
      </c>
      <c r="C67" s="139" t="s">
        <v>156</v>
      </c>
      <c r="D67" s="139" t="s">
        <v>162</v>
      </c>
      <c r="E67" s="139" t="s">
        <v>100</v>
      </c>
      <c r="F67" s="115">
        <v>839930.22</v>
      </c>
      <c r="G67" s="116"/>
      <c r="H67" s="32">
        <f t="shared" si="0"/>
        <v>839930.22</v>
      </c>
    </row>
    <row r="68" spans="1:8">
      <c r="A68" s="139" t="s">
        <v>299</v>
      </c>
      <c r="B68" s="139" t="s">
        <v>300</v>
      </c>
      <c r="C68" s="139" t="s">
        <v>156</v>
      </c>
      <c r="D68" s="139" t="s">
        <v>162</v>
      </c>
      <c r="E68" s="139" t="s">
        <v>100</v>
      </c>
      <c r="F68" s="115">
        <v>212232.97</v>
      </c>
      <c r="G68" s="116"/>
      <c r="H68" s="32">
        <f t="shared" si="0"/>
        <v>212232.97</v>
      </c>
    </row>
    <row r="69" spans="1:8">
      <c r="A69" s="139" t="s">
        <v>301</v>
      </c>
      <c r="B69" s="139" t="s">
        <v>302</v>
      </c>
      <c r="C69" s="139" t="s">
        <v>156</v>
      </c>
      <c r="D69" s="139" t="s">
        <v>162</v>
      </c>
      <c r="E69" s="139" t="s">
        <v>100</v>
      </c>
      <c r="F69" s="115">
        <v>79145.88</v>
      </c>
      <c r="G69" s="116"/>
      <c r="H69" s="32">
        <f t="shared" si="0"/>
        <v>79145.88</v>
      </c>
    </row>
    <row r="70" spans="1:8">
      <c r="A70" s="139" t="s">
        <v>303</v>
      </c>
      <c r="B70" s="139" t="s">
        <v>304</v>
      </c>
      <c r="C70" s="139" t="s">
        <v>156</v>
      </c>
      <c r="D70" s="139" t="s">
        <v>162</v>
      </c>
      <c r="E70" s="139" t="s">
        <v>100</v>
      </c>
      <c r="F70" s="115">
        <v>-9002.7800000000007</v>
      </c>
      <c r="G70" s="116"/>
      <c r="H70" s="32">
        <f t="shared" ref="H70:H133" si="1">SUM(F70:G70)</f>
        <v>-9002.7800000000007</v>
      </c>
    </row>
    <row r="71" spans="1:8">
      <c r="A71" s="139" t="s">
        <v>305</v>
      </c>
      <c r="B71" s="139" t="s">
        <v>306</v>
      </c>
      <c r="C71" s="139" t="s">
        <v>156</v>
      </c>
      <c r="D71" s="139" t="s">
        <v>162</v>
      </c>
      <c r="E71" s="139" t="s">
        <v>100</v>
      </c>
      <c r="F71" s="115">
        <v>115821.92</v>
      </c>
      <c r="G71" s="116"/>
      <c r="H71" s="32">
        <f t="shared" si="1"/>
        <v>115821.92</v>
      </c>
    </row>
    <row r="72" spans="1:8">
      <c r="A72" s="139" t="s">
        <v>307</v>
      </c>
      <c r="B72" s="139" t="s">
        <v>308</v>
      </c>
      <c r="C72" s="139" t="s">
        <v>156</v>
      </c>
      <c r="D72" s="139" t="s">
        <v>162</v>
      </c>
      <c r="E72" s="139" t="s">
        <v>100</v>
      </c>
      <c r="F72" s="115">
        <v>-25199.64</v>
      </c>
      <c r="G72" s="116"/>
      <c r="H72" s="32">
        <f t="shared" si="1"/>
        <v>-25199.64</v>
      </c>
    </row>
    <row r="73" spans="1:8">
      <c r="A73" s="139" t="s">
        <v>309</v>
      </c>
      <c r="B73" s="139" t="s">
        <v>310</v>
      </c>
      <c r="C73" s="139" t="s">
        <v>156</v>
      </c>
      <c r="D73" s="139" t="s">
        <v>162</v>
      </c>
      <c r="E73" s="139" t="s">
        <v>100</v>
      </c>
      <c r="F73" s="115">
        <v>0</v>
      </c>
      <c r="G73" s="116"/>
      <c r="H73" s="32">
        <f t="shared" si="1"/>
        <v>0</v>
      </c>
    </row>
    <row r="74" spans="1:8">
      <c r="A74" s="139" t="s">
        <v>311</v>
      </c>
      <c r="B74" s="139" t="s">
        <v>312</v>
      </c>
      <c r="C74" s="139" t="s">
        <v>156</v>
      </c>
      <c r="D74" s="139" t="s">
        <v>169</v>
      </c>
      <c r="E74" s="139" t="s">
        <v>313</v>
      </c>
      <c r="F74" s="115">
        <v>9082150.4100000001</v>
      </c>
      <c r="G74" s="116"/>
      <c r="H74" s="32"/>
    </row>
    <row r="75" spans="1:8">
      <c r="A75" s="139" t="s">
        <v>314</v>
      </c>
      <c r="B75" s="139" t="s">
        <v>315</v>
      </c>
      <c r="C75" s="139" t="s">
        <v>156</v>
      </c>
      <c r="D75" s="139" t="s">
        <v>157</v>
      </c>
      <c r="E75" s="139" t="s">
        <v>100</v>
      </c>
      <c r="F75" s="115">
        <v>0</v>
      </c>
      <c r="G75" s="116"/>
      <c r="H75" s="32">
        <f t="shared" si="1"/>
        <v>0</v>
      </c>
    </row>
    <row r="76" spans="1:8">
      <c r="A76" s="139" t="s">
        <v>316</v>
      </c>
      <c r="B76" s="139" t="s">
        <v>317</v>
      </c>
      <c r="C76" s="139" t="s">
        <v>156</v>
      </c>
      <c r="D76" s="139" t="s">
        <v>162</v>
      </c>
      <c r="E76" s="139" t="s">
        <v>100</v>
      </c>
      <c r="F76" s="115">
        <v>451691.18</v>
      </c>
      <c r="G76" s="116"/>
      <c r="H76" s="32">
        <f t="shared" si="1"/>
        <v>451691.18</v>
      </c>
    </row>
    <row r="77" spans="1:8">
      <c r="A77" s="139" t="s">
        <v>318</v>
      </c>
      <c r="B77" s="139" t="s">
        <v>319</v>
      </c>
      <c r="C77" s="139" t="s">
        <v>156</v>
      </c>
      <c r="D77" s="139" t="s">
        <v>162</v>
      </c>
      <c r="E77" s="139" t="s">
        <v>100</v>
      </c>
      <c r="F77" s="115">
        <v>-39150.400000000001</v>
      </c>
      <c r="G77" s="116"/>
      <c r="H77" s="32">
        <f t="shared" si="1"/>
        <v>-39150.400000000001</v>
      </c>
    </row>
    <row r="78" spans="1:8">
      <c r="A78" s="139" t="s">
        <v>320</v>
      </c>
      <c r="B78" s="139" t="s">
        <v>321</v>
      </c>
      <c r="C78" s="139" t="s">
        <v>156</v>
      </c>
      <c r="D78" s="139" t="s">
        <v>162</v>
      </c>
      <c r="E78" s="139" t="s">
        <v>100</v>
      </c>
      <c r="F78" s="115">
        <v>147966.62</v>
      </c>
      <c r="G78" s="116">
        <v>-935</v>
      </c>
      <c r="H78" s="32">
        <f t="shared" si="1"/>
        <v>147031.62</v>
      </c>
    </row>
    <row r="79" spans="1:8">
      <c r="A79" s="139" t="s">
        <v>322</v>
      </c>
      <c r="B79" s="139" t="s">
        <v>323</v>
      </c>
      <c r="C79" s="139" t="s">
        <v>156</v>
      </c>
      <c r="D79" s="139" t="s">
        <v>162</v>
      </c>
      <c r="E79" s="139" t="s">
        <v>100</v>
      </c>
      <c r="F79" s="115">
        <v>38687.33</v>
      </c>
      <c r="G79" s="116"/>
      <c r="H79" s="32">
        <f t="shared" si="1"/>
        <v>38687.33</v>
      </c>
    </row>
    <row r="80" spans="1:8">
      <c r="A80" s="139" t="s">
        <v>324</v>
      </c>
      <c r="B80" s="139" t="s">
        <v>325</v>
      </c>
      <c r="C80" s="139" t="s">
        <v>156</v>
      </c>
      <c r="D80" s="139" t="s">
        <v>162</v>
      </c>
      <c r="E80" s="139" t="s">
        <v>100</v>
      </c>
      <c r="F80" s="115">
        <v>19473.39</v>
      </c>
      <c r="G80" s="116"/>
      <c r="H80" s="32">
        <f t="shared" si="1"/>
        <v>19473.39</v>
      </c>
    </row>
    <row r="81" spans="1:8">
      <c r="A81" s="139" t="s">
        <v>326</v>
      </c>
      <c r="B81" s="139" t="s">
        <v>2150</v>
      </c>
      <c r="C81" s="139" t="s">
        <v>156</v>
      </c>
      <c r="D81" s="139" t="s">
        <v>162</v>
      </c>
      <c r="E81" s="139" t="s">
        <v>100</v>
      </c>
      <c r="F81" s="115">
        <v>1999</v>
      </c>
      <c r="G81" s="116"/>
      <c r="H81" s="32">
        <f t="shared" si="1"/>
        <v>1999</v>
      </c>
    </row>
    <row r="82" spans="1:8">
      <c r="A82" s="139" t="s">
        <v>328</v>
      </c>
      <c r="B82" s="139" t="s">
        <v>329</v>
      </c>
      <c r="C82" s="139" t="s">
        <v>156</v>
      </c>
      <c r="D82" s="139" t="s">
        <v>169</v>
      </c>
      <c r="E82" s="139" t="s">
        <v>330</v>
      </c>
      <c r="F82" s="115">
        <v>620667.12</v>
      </c>
      <c r="G82" s="116"/>
      <c r="H82" s="32"/>
    </row>
    <row r="83" spans="1:8">
      <c r="A83" s="139" t="s">
        <v>331</v>
      </c>
      <c r="B83" s="139" t="s">
        <v>332</v>
      </c>
      <c r="C83" s="139" t="s">
        <v>156</v>
      </c>
      <c r="D83" s="139" t="s">
        <v>157</v>
      </c>
      <c r="E83" s="139" t="s">
        <v>100</v>
      </c>
      <c r="F83" s="115">
        <v>0</v>
      </c>
      <c r="G83" s="116"/>
      <c r="H83" s="32">
        <f t="shared" si="1"/>
        <v>0</v>
      </c>
    </row>
    <row r="84" spans="1:8">
      <c r="A84" s="139" t="s">
        <v>333</v>
      </c>
      <c r="B84" s="139" t="s">
        <v>334</v>
      </c>
      <c r="C84" s="139" t="s">
        <v>156</v>
      </c>
      <c r="D84" s="139" t="s">
        <v>162</v>
      </c>
      <c r="E84" s="139" t="s">
        <v>100</v>
      </c>
      <c r="F84" s="115">
        <v>128628.47</v>
      </c>
      <c r="G84" s="116">
        <f>2292+240-6276.65-6516.65</f>
        <v>-10261.299999999999</v>
      </c>
      <c r="H84" s="32">
        <f t="shared" si="1"/>
        <v>118367.17</v>
      </c>
    </row>
    <row r="85" spans="1:8">
      <c r="A85" s="139" t="s">
        <v>335</v>
      </c>
      <c r="B85" s="139" t="s">
        <v>336</v>
      </c>
      <c r="C85" s="139" t="s">
        <v>156</v>
      </c>
      <c r="D85" s="139" t="s">
        <v>162</v>
      </c>
      <c r="E85" s="139" t="s">
        <v>100</v>
      </c>
      <c r="F85" s="115">
        <v>113999.01</v>
      </c>
      <c r="G85" s="116"/>
      <c r="H85" s="32">
        <f t="shared" si="1"/>
        <v>113999.01</v>
      </c>
    </row>
    <row r="86" spans="1:8">
      <c r="A86" s="139" t="s">
        <v>337</v>
      </c>
      <c r="B86" s="139" t="s">
        <v>338</v>
      </c>
      <c r="C86" s="139" t="s">
        <v>156</v>
      </c>
      <c r="D86" s="139" t="s">
        <v>169</v>
      </c>
      <c r="E86" s="139" t="s">
        <v>339</v>
      </c>
      <c r="F86" s="115">
        <v>242627.48</v>
      </c>
      <c r="G86" s="116"/>
      <c r="H86" s="32"/>
    </row>
    <row r="87" spans="1:8">
      <c r="A87" s="139" t="s">
        <v>340</v>
      </c>
      <c r="B87" s="139" t="s">
        <v>341</v>
      </c>
      <c r="C87" s="139" t="s">
        <v>156</v>
      </c>
      <c r="D87" s="139" t="s">
        <v>169</v>
      </c>
      <c r="E87" s="139" t="s">
        <v>342</v>
      </c>
      <c r="F87" s="115">
        <v>9945445.0099999998</v>
      </c>
      <c r="G87" s="116"/>
      <c r="H87" s="32"/>
    </row>
    <row r="88" spans="1:8">
      <c r="A88" s="139" t="s">
        <v>2151</v>
      </c>
      <c r="B88" s="139" t="s">
        <v>371</v>
      </c>
      <c r="C88" s="139" t="s">
        <v>156</v>
      </c>
      <c r="D88" s="139" t="s">
        <v>157</v>
      </c>
      <c r="E88" s="139" t="s">
        <v>100</v>
      </c>
      <c r="F88" s="115">
        <v>0</v>
      </c>
      <c r="G88" s="116"/>
      <c r="H88" s="32">
        <f t="shared" si="1"/>
        <v>0</v>
      </c>
    </row>
    <row r="89" spans="1:8">
      <c r="A89" s="139" t="s">
        <v>343</v>
      </c>
      <c r="B89" s="139" t="s">
        <v>344</v>
      </c>
      <c r="C89" s="139" t="s">
        <v>156</v>
      </c>
      <c r="D89" s="139" t="s">
        <v>157</v>
      </c>
      <c r="E89" s="139" t="s">
        <v>100</v>
      </c>
      <c r="F89" s="115">
        <v>0</v>
      </c>
      <c r="G89" s="116"/>
      <c r="H89" s="32">
        <f t="shared" si="1"/>
        <v>0</v>
      </c>
    </row>
    <row r="90" spans="1:8">
      <c r="A90" s="139" t="s">
        <v>345</v>
      </c>
      <c r="B90" s="139" t="s">
        <v>346</v>
      </c>
      <c r="C90" s="139" t="s">
        <v>156</v>
      </c>
      <c r="D90" s="139" t="s">
        <v>162</v>
      </c>
      <c r="E90" s="139" t="s">
        <v>100</v>
      </c>
      <c r="F90" s="115">
        <v>0</v>
      </c>
      <c r="G90" s="116"/>
      <c r="H90" s="32">
        <f t="shared" si="1"/>
        <v>0</v>
      </c>
    </row>
    <row r="91" spans="1:8">
      <c r="A91" s="139" t="s">
        <v>347</v>
      </c>
      <c r="B91" s="139" t="s">
        <v>348</v>
      </c>
      <c r="C91" s="139" t="s">
        <v>156</v>
      </c>
      <c r="D91" s="139" t="s">
        <v>162</v>
      </c>
      <c r="E91" s="139" t="s">
        <v>100</v>
      </c>
      <c r="F91" s="115">
        <v>100340.67</v>
      </c>
      <c r="G91" s="116"/>
      <c r="H91" s="32">
        <f t="shared" si="1"/>
        <v>100340.67</v>
      </c>
    </row>
    <row r="92" spans="1:8">
      <c r="A92" s="139" t="s">
        <v>349</v>
      </c>
      <c r="B92" s="139" t="s">
        <v>350</v>
      </c>
      <c r="C92" s="139" t="s">
        <v>156</v>
      </c>
      <c r="D92" s="139" t="s">
        <v>162</v>
      </c>
      <c r="E92" s="139" t="s">
        <v>100</v>
      </c>
      <c r="F92" s="115">
        <v>0</v>
      </c>
      <c r="G92" s="116"/>
      <c r="H92" s="32">
        <f t="shared" si="1"/>
        <v>0</v>
      </c>
    </row>
    <row r="93" spans="1:8">
      <c r="A93" s="139" t="s">
        <v>351</v>
      </c>
      <c r="B93" s="139" t="s">
        <v>352</v>
      </c>
      <c r="C93" s="139" t="s">
        <v>156</v>
      </c>
      <c r="D93" s="139" t="s">
        <v>162</v>
      </c>
      <c r="E93" s="139" t="s">
        <v>100</v>
      </c>
      <c r="F93" s="115">
        <v>0</v>
      </c>
      <c r="G93" s="116"/>
      <c r="H93" s="32">
        <f t="shared" si="1"/>
        <v>0</v>
      </c>
    </row>
    <row r="94" spans="1:8">
      <c r="A94" s="139" t="s">
        <v>353</v>
      </c>
      <c r="B94" s="139" t="s">
        <v>354</v>
      </c>
      <c r="C94" s="139" t="s">
        <v>156</v>
      </c>
      <c r="D94" s="139" t="s">
        <v>162</v>
      </c>
      <c r="E94" s="139" t="s">
        <v>100</v>
      </c>
      <c r="F94" s="115">
        <v>151507.88</v>
      </c>
      <c r="G94" s="116"/>
      <c r="H94" s="32">
        <f t="shared" si="1"/>
        <v>151507.88</v>
      </c>
    </row>
    <row r="95" spans="1:8">
      <c r="A95" s="139" t="s">
        <v>355</v>
      </c>
      <c r="B95" s="139" t="s">
        <v>356</v>
      </c>
      <c r="C95" s="139" t="s">
        <v>156</v>
      </c>
      <c r="D95" s="139" t="s">
        <v>162</v>
      </c>
      <c r="E95" s="139" t="s">
        <v>100</v>
      </c>
      <c r="F95" s="115">
        <v>537.52</v>
      </c>
      <c r="G95" s="116"/>
      <c r="H95" s="32">
        <f t="shared" si="1"/>
        <v>537.52</v>
      </c>
    </row>
    <row r="96" spans="1:8">
      <c r="A96" s="139" t="s">
        <v>357</v>
      </c>
      <c r="B96" s="139" t="s">
        <v>358</v>
      </c>
      <c r="C96" s="139" t="s">
        <v>156</v>
      </c>
      <c r="D96" s="139" t="s">
        <v>162</v>
      </c>
      <c r="E96" s="139" t="s">
        <v>100</v>
      </c>
      <c r="F96" s="115">
        <v>61382.080000000002</v>
      </c>
      <c r="G96" s="116"/>
      <c r="H96" s="32">
        <f t="shared" si="1"/>
        <v>61382.080000000002</v>
      </c>
    </row>
    <row r="97" spans="1:8">
      <c r="A97" s="139" t="s">
        <v>359</v>
      </c>
      <c r="B97" s="139" t="s">
        <v>360</v>
      </c>
      <c r="C97" s="139" t="s">
        <v>156</v>
      </c>
      <c r="D97" s="139" t="s">
        <v>162</v>
      </c>
      <c r="E97" s="139" t="s">
        <v>100</v>
      </c>
      <c r="F97" s="115">
        <v>68765.279999999999</v>
      </c>
      <c r="G97" s="116"/>
      <c r="H97" s="32">
        <f t="shared" si="1"/>
        <v>68765.279999999999</v>
      </c>
    </row>
    <row r="98" spans="1:8">
      <c r="A98" s="139" t="s">
        <v>361</v>
      </c>
      <c r="B98" s="139" t="s">
        <v>2152</v>
      </c>
      <c r="C98" s="139" t="s">
        <v>156</v>
      </c>
      <c r="D98" s="139" t="s">
        <v>162</v>
      </c>
      <c r="E98" s="139" t="s">
        <v>100</v>
      </c>
      <c r="F98" s="115">
        <v>0</v>
      </c>
      <c r="G98" s="116"/>
      <c r="H98" s="32">
        <f t="shared" si="1"/>
        <v>0</v>
      </c>
    </row>
    <row r="99" spans="1:8">
      <c r="A99" s="139" t="s">
        <v>363</v>
      </c>
      <c r="B99" s="139" t="s">
        <v>2153</v>
      </c>
      <c r="C99" s="139" t="s">
        <v>156</v>
      </c>
      <c r="D99" s="139" t="s">
        <v>162</v>
      </c>
      <c r="E99" s="139" t="s">
        <v>100</v>
      </c>
      <c r="F99" s="115">
        <v>0</v>
      </c>
      <c r="G99" s="116"/>
      <c r="H99" s="32">
        <f t="shared" si="1"/>
        <v>0</v>
      </c>
    </row>
    <row r="100" spans="1:8">
      <c r="A100" s="139" t="s">
        <v>365</v>
      </c>
      <c r="B100" s="139" t="s">
        <v>366</v>
      </c>
      <c r="C100" s="139" t="s">
        <v>156</v>
      </c>
      <c r="D100" s="139" t="s">
        <v>162</v>
      </c>
      <c r="E100" s="139" t="s">
        <v>100</v>
      </c>
      <c r="F100" s="115">
        <v>0</v>
      </c>
      <c r="G100" s="116"/>
      <c r="H100" s="32">
        <f t="shared" si="1"/>
        <v>0</v>
      </c>
    </row>
    <row r="101" spans="1:8">
      <c r="A101" s="139" t="s">
        <v>367</v>
      </c>
      <c r="B101" s="139" t="s">
        <v>368</v>
      </c>
      <c r="C101" s="139" t="s">
        <v>156</v>
      </c>
      <c r="D101" s="139" t="s">
        <v>169</v>
      </c>
      <c r="E101" s="139" t="s">
        <v>369</v>
      </c>
      <c r="F101" s="115">
        <v>382533.43</v>
      </c>
      <c r="G101" s="116"/>
      <c r="H101" s="32"/>
    </row>
    <row r="102" spans="1:8">
      <c r="A102" s="139" t="s">
        <v>370</v>
      </c>
      <c r="B102" s="139" t="s">
        <v>2154</v>
      </c>
      <c r="C102" s="139" t="s">
        <v>156</v>
      </c>
      <c r="D102" s="139" t="s">
        <v>157</v>
      </c>
      <c r="E102" s="139" t="s">
        <v>100</v>
      </c>
      <c r="F102" s="115">
        <v>0</v>
      </c>
      <c r="G102" s="116"/>
      <c r="H102" s="32">
        <f t="shared" si="1"/>
        <v>0</v>
      </c>
    </row>
    <row r="103" spans="1:8">
      <c r="A103" s="139" t="s">
        <v>374</v>
      </c>
      <c r="B103" s="139" t="s">
        <v>375</v>
      </c>
      <c r="C103" s="139" t="s">
        <v>156</v>
      </c>
      <c r="D103" s="139" t="s">
        <v>162</v>
      </c>
      <c r="E103" s="139" t="s">
        <v>100</v>
      </c>
      <c r="F103" s="115">
        <v>140748.23000000001</v>
      </c>
      <c r="G103" s="116">
        <f>730.1-2292-240+6276.65+6516.65</f>
        <v>10991.4</v>
      </c>
      <c r="H103" s="32">
        <f t="shared" si="1"/>
        <v>151739.63</v>
      </c>
    </row>
    <row r="104" spans="1:8">
      <c r="A104" s="139" t="s">
        <v>2155</v>
      </c>
      <c r="B104" s="139" t="s">
        <v>2156</v>
      </c>
      <c r="C104" s="139" t="s">
        <v>156</v>
      </c>
      <c r="D104" s="139" t="s">
        <v>162</v>
      </c>
      <c r="E104" s="139" t="s">
        <v>100</v>
      </c>
      <c r="F104" s="115">
        <v>0</v>
      </c>
      <c r="G104" s="116"/>
      <c r="H104" s="32">
        <f t="shared" si="1"/>
        <v>0</v>
      </c>
    </row>
    <row r="105" spans="1:8">
      <c r="A105" s="139" t="s">
        <v>378</v>
      </c>
      <c r="B105" s="139" t="s">
        <v>379</v>
      </c>
      <c r="C105" s="139" t="s">
        <v>156</v>
      </c>
      <c r="D105" s="139" t="s">
        <v>169</v>
      </c>
      <c r="E105" s="139" t="s">
        <v>2157</v>
      </c>
      <c r="F105" s="115">
        <v>140748.23000000001</v>
      </c>
      <c r="G105" s="116"/>
      <c r="H105" s="32"/>
    </row>
    <row r="106" spans="1:8">
      <c r="A106" s="139" t="s">
        <v>381</v>
      </c>
      <c r="B106" s="139" t="s">
        <v>382</v>
      </c>
      <c r="C106" s="139" t="s">
        <v>156</v>
      </c>
      <c r="D106" s="139" t="s">
        <v>157</v>
      </c>
      <c r="E106" s="139" t="s">
        <v>100</v>
      </c>
      <c r="F106" s="115">
        <v>0</v>
      </c>
      <c r="G106" s="116"/>
      <c r="H106" s="32">
        <f t="shared" si="1"/>
        <v>0</v>
      </c>
    </row>
    <row r="107" spans="1:8">
      <c r="A107" s="139" t="s">
        <v>383</v>
      </c>
      <c r="B107" s="139" t="s">
        <v>384</v>
      </c>
      <c r="C107" s="139" t="s">
        <v>156</v>
      </c>
      <c r="D107" s="139" t="s">
        <v>162</v>
      </c>
      <c r="E107" s="139" t="s">
        <v>100</v>
      </c>
      <c r="F107" s="115">
        <v>34951.300000000003</v>
      </c>
      <c r="G107" s="116"/>
      <c r="H107" s="122">
        <f t="shared" si="1"/>
        <v>34951.300000000003</v>
      </c>
    </row>
    <row r="108" spans="1:8">
      <c r="A108" s="139" t="s">
        <v>385</v>
      </c>
      <c r="B108" s="139" t="s">
        <v>386</v>
      </c>
      <c r="C108" s="139" t="s">
        <v>156</v>
      </c>
      <c r="D108" s="139" t="s">
        <v>162</v>
      </c>
      <c r="E108" s="139" t="s">
        <v>100</v>
      </c>
      <c r="F108" s="115">
        <v>50448.05</v>
      </c>
      <c r="G108" s="116"/>
      <c r="H108" s="122">
        <f t="shared" si="1"/>
        <v>50448.05</v>
      </c>
    </row>
    <row r="109" spans="1:8">
      <c r="A109" s="139" t="s">
        <v>387</v>
      </c>
      <c r="B109" s="139" t="s">
        <v>388</v>
      </c>
      <c r="C109" s="139" t="s">
        <v>156</v>
      </c>
      <c r="D109" s="139" t="s">
        <v>162</v>
      </c>
      <c r="E109" s="139" t="s">
        <v>100</v>
      </c>
      <c r="F109" s="115">
        <v>4908.8500000000004</v>
      </c>
      <c r="G109" s="116">
        <f>-1138.06+1137.06</f>
        <v>-1</v>
      </c>
      <c r="H109" s="32">
        <f t="shared" si="1"/>
        <v>4907.8500000000004</v>
      </c>
    </row>
    <row r="110" spans="1:8">
      <c r="A110" s="139" t="s">
        <v>389</v>
      </c>
      <c r="B110" s="139" t="s">
        <v>390</v>
      </c>
      <c r="C110" s="139" t="s">
        <v>156</v>
      </c>
      <c r="D110" s="139" t="s">
        <v>162</v>
      </c>
      <c r="E110" s="139" t="s">
        <v>100</v>
      </c>
      <c r="F110" s="115">
        <v>21680.19</v>
      </c>
      <c r="G110" s="116"/>
      <c r="H110" s="122">
        <f t="shared" si="1"/>
        <v>21680.19</v>
      </c>
    </row>
    <row r="111" spans="1:8">
      <c r="A111" s="139" t="s">
        <v>391</v>
      </c>
      <c r="B111" s="139" t="s">
        <v>392</v>
      </c>
      <c r="C111" s="139" t="s">
        <v>156</v>
      </c>
      <c r="D111" s="139" t="s">
        <v>162</v>
      </c>
      <c r="E111" s="139" t="s">
        <v>100</v>
      </c>
      <c r="F111" s="115">
        <v>0</v>
      </c>
      <c r="G111" s="116"/>
      <c r="H111" s="32">
        <f t="shared" si="1"/>
        <v>0</v>
      </c>
    </row>
    <row r="112" spans="1:8">
      <c r="A112" s="139" t="s">
        <v>393</v>
      </c>
      <c r="B112" s="139" t="s">
        <v>394</v>
      </c>
      <c r="C112" s="139" t="s">
        <v>156</v>
      </c>
      <c r="D112" s="139" t="s">
        <v>162</v>
      </c>
      <c r="E112" s="139" t="s">
        <v>100</v>
      </c>
      <c r="F112" s="115">
        <v>1330</v>
      </c>
      <c r="G112" s="116"/>
      <c r="H112" s="122">
        <f t="shared" si="1"/>
        <v>1330</v>
      </c>
    </row>
    <row r="113" spans="1:8">
      <c r="A113" s="139" t="s">
        <v>395</v>
      </c>
      <c r="B113" s="139" t="s">
        <v>396</v>
      </c>
      <c r="C113" s="139" t="s">
        <v>156</v>
      </c>
      <c r="D113" s="139" t="s">
        <v>162</v>
      </c>
      <c r="E113" s="139" t="s">
        <v>100</v>
      </c>
      <c r="F113" s="115">
        <v>3057.04</v>
      </c>
      <c r="G113" s="116"/>
      <c r="H113" s="32">
        <f t="shared" si="1"/>
        <v>3057.04</v>
      </c>
    </row>
    <row r="114" spans="1:8">
      <c r="A114" s="139" t="s">
        <v>397</v>
      </c>
      <c r="B114" s="139" t="s">
        <v>398</v>
      </c>
      <c r="C114" s="139" t="s">
        <v>156</v>
      </c>
      <c r="D114" s="139" t="s">
        <v>162</v>
      </c>
      <c r="E114" s="139" t="s">
        <v>100</v>
      </c>
      <c r="F114" s="115">
        <v>22767.21</v>
      </c>
      <c r="G114" s="116">
        <f>-1516.08-1516.08</f>
        <v>-3032.16</v>
      </c>
      <c r="H114" s="32">
        <f t="shared" si="1"/>
        <v>19735.05</v>
      </c>
    </row>
    <row r="115" spans="1:8">
      <c r="A115" s="139" t="s">
        <v>399</v>
      </c>
      <c r="B115" s="139" t="s">
        <v>400</v>
      </c>
      <c r="C115" s="139" t="s">
        <v>156</v>
      </c>
      <c r="D115" s="139" t="s">
        <v>162</v>
      </c>
      <c r="E115" s="139" t="s">
        <v>100</v>
      </c>
      <c r="F115" s="115">
        <v>16013.23</v>
      </c>
      <c r="G115" s="116">
        <f>1516.08+1516.08</f>
        <v>3032.16</v>
      </c>
      <c r="H115" s="32">
        <f t="shared" si="1"/>
        <v>19045.39</v>
      </c>
    </row>
    <row r="116" spans="1:8">
      <c r="A116" s="139" t="s">
        <v>401</v>
      </c>
      <c r="B116" s="139" t="s">
        <v>402</v>
      </c>
      <c r="C116" s="139" t="s">
        <v>156</v>
      </c>
      <c r="D116" s="139" t="s">
        <v>162</v>
      </c>
      <c r="E116" s="139" t="s">
        <v>100</v>
      </c>
      <c r="F116" s="115">
        <v>-1564.51</v>
      </c>
      <c r="G116" s="116"/>
      <c r="H116" s="32">
        <f t="shared" si="1"/>
        <v>-1564.51</v>
      </c>
    </row>
    <row r="117" spans="1:8">
      <c r="A117" s="139" t="s">
        <v>403</v>
      </c>
      <c r="B117" s="139" t="s">
        <v>404</v>
      </c>
      <c r="C117" s="139" t="s">
        <v>156</v>
      </c>
      <c r="D117" s="139" t="s">
        <v>162</v>
      </c>
      <c r="E117" s="139" t="s">
        <v>100</v>
      </c>
      <c r="F117" s="115">
        <v>0</v>
      </c>
      <c r="G117" s="116"/>
      <c r="H117" s="32">
        <f t="shared" si="1"/>
        <v>0</v>
      </c>
    </row>
    <row r="118" spans="1:8">
      <c r="A118" s="139" t="s">
        <v>405</v>
      </c>
      <c r="B118" s="139" t="s">
        <v>406</v>
      </c>
      <c r="C118" s="139" t="s">
        <v>156</v>
      </c>
      <c r="D118" s="139" t="s">
        <v>162</v>
      </c>
      <c r="E118" s="139" t="s">
        <v>100</v>
      </c>
      <c r="F118" s="115">
        <v>0</v>
      </c>
      <c r="G118" s="116"/>
      <c r="H118" s="32">
        <f t="shared" si="1"/>
        <v>0</v>
      </c>
    </row>
    <row r="119" spans="1:8">
      <c r="A119" s="139" t="s">
        <v>407</v>
      </c>
      <c r="B119" s="139" t="s">
        <v>220</v>
      </c>
      <c r="C119" s="139" t="s">
        <v>156</v>
      </c>
      <c r="D119" s="139" t="s">
        <v>162</v>
      </c>
      <c r="E119" s="139" t="s">
        <v>100</v>
      </c>
      <c r="F119" s="115">
        <v>21231</v>
      </c>
      <c r="G119" s="116"/>
      <c r="H119" s="32">
        <f t="shared" si="1"/>
        <v>21231</v>
      </c>
    </row>
    <row r="120" spans="1:8">
      <c r="A120" s="139" t="s">
        <v>408</v>
      </c>
      <c r="B120" s="139" t="s">
        <v>409</v>
      </c>
      <c r="C120" s="139" t="s">
        <v>156</v>
      </c>
      <c r="D120" s="139" t="s">
        <v>169</v>
      </c>
      <c r="E120" s="139" t="s">
        <v>410</v>
      </c>
      <c r="F120" s="115">
        <v>174822.36</v>
      </c>
      <c r="G120" s="116"/>
      <c r="H120" s="32"/>
    </row>
    <row r="121" spans="1:8">
      <c r="A121" s="139" t="s">
        <v>411</v>
      </c>
      <c r="B121" s="139" t="s">
        <v>412</v>
      </c>
      <c r="C121" s="139" t="s">
        <v>156</v>
      </c>
      <c r="D121" s="139" t="s">
        <v>157</v>
      </c>
      <c r="E121" s="139" t="s">
        <v>100</v>
      </c>
      <c r="F121" s="115">
        <v>0</v>
      </c>
      <c r="G121" s="116"/>
      <c r="H121" s="32">
        <f t="shared" si="1"/>
        <v>0</v>
      </c>
    </row>
    <row r="122" spans="1:8">
      <c r="A122" s="139" t="s">
        <v>413</v>
      </c>
      <c r="B122" s="139" t="s">
        <v>414</v>
      </c>
      <c r="C122" s="139" t="s">
        <v>156</v>
      </c>
      <c r="D122" s="139" t="s">
        <v>162</v>
      </c>
      <c r="E122" s="139" t="s">
        <v>100</v>
      </c>
      <c r="F122" s="115">
        <v>0</v>
      </c>
      <c r="G122" s="116"/>
      <c r="H122" s="32">
        <f t="shared" si="1"/>
        <v>0</v>
      </c>
    </row>
    <row r="123" spans="1:8">
      <c r="A123" s="139" t="s">
        <v>415</v>
      </c>
      <c r="B123" s="139" t="s">
        <v>416</v>
      </c>
      <c r="C123" s="139" t="s">
        <v>156</v>
      </c>
      <c r="D123" s="139" t="s">
        <v>169</v>
      </c>
      <c r="E123" s="139" t="s">
        <v>417</v>
      </c>
      <c r="F123" s="115">
        <v>0</v>
      </c>
      <c r="G123" s="116"/>
      <c r="H123" s="32"/>
    </row>
    <row r="124" spans="1:8">
      <c r="A124" s="139" t="s">
        <v>418</v>
      </c>
      <c r="B124" s="139" t="s">
        <v>419</v>
      </c>
      <c r="C124" s="139" t="s">
        <v>156</v>
      </c>
      <c r="D124" s="139" t="s">
        <v>157</v>
      </c>
      <c r="E124" s="139" t="s">
        <v>100</v>
      </c>
      <c r="F124" s="115">
        <v>0</v>
      </c>
      <c r="G124" s="116"/>
      <c r="H124" s="32"/>
    </row>
    <row r="125" spans="1:8">
      <c r="A125" s="139" t="s">
        <v>420</v>
      </c>
      <c r="B125" s="139" t="s">
        <v>56</v>
      </c>
      <c r="C125" s="139" t="s">
        <v>156</v>
      </c>
      <c r="D125" s="139" t="s">
        <v>162</v>
      </c>
      <c r="E125" s="139" t="s">
        <v>100</v>
      </c>
      <c r="F125" s="115">
        <v>8000</v>
      </c>
      <c r="G125" s="116"/>
      <c r="H125" s="32">
        <f t="shared" si="1"/>
        <v>8000</v>
      </c>
    </row>
    <row r="126" spans="1:8">
      <c r="A126" s="139" t="s">
        <v>421</v>
      </c>
      <c r="B126" s="139" t="s">
        <v>422</v>
      </c>
      <c r="C126" s="139" t="s">
        <v>156</v>
      </c>
      <c r="D126" s="139" t="s">
        <v>169</v>
      </c>
      <c r="E126" s="139" t="s">
        <v>423</v>
      </c>
      <c r="F126" s="115">
        <v>8000</v>
      </c>
      <c r="G126" s="116"/>
      <c r="H126" s="32"/>
    </row>
    <row r="127" spans="1:8">
      <c r="A127" s="139" t="s">
        <v>2158</v>
      </c>
      <c r="B127" s="139" t="s">
        <v>425</v>
      </c>
      <c r="C127" s="139" t="s">
        <v>156</v>
      </c>
      <c r="D127" s="139" t="s">
        <v>169</v>
      </c>
      <c r="E127" s="139" t="s">
        <v>2159</v>
      </c>
      <c r="F127" s="115">
        <v>706104.02</v>
      </c>
      <c r="G127" s="116"/>
      <c r="H127" s="32"/>
    </row>
    <row r="128" spans="1:8">
      <c r="A128" s="139" t="s">
        <v>427</v>
      </c>
      <c r="B128" s="139" t="s">
        <v>428</v>
      </c>
      <c r="C128" s="139" t="s">
        <v>156</v>
      </c>
      <c r="D128" s="139" t="s">
        <v>157</v>
      </c>
      <c r="E128" s="139" t="s">
        <v>100</v>
      </c>
      <c r="F128" s="115">
        <v>0</v>
      </c>
      <c r="G128" s="116"/>
      <c r="H128" s="32"/>
    </row>
    <row r="129" spans="1:16">
      <c r="A129" s="139" t="s">
        <v>430</v>
      </c>
      <c r="B129" s="139" t="s">
        <v>431</v>
      </c>
      <c r="C129" s="139" t="s">
        <v>156</v>
      </c>
      <c r="D129" s="139" t="s">
        <v>162</v>
      </c>
      <c r="E129" s="139" t="s">
        <v>100</v>
      </c>
      <c r="F129" s="115">
        <v>0</v>
      </c>
      <c r="G129" s="116">
        <f>-68000+1750</f>
        <v>-66250</v>
      </c>
      <c r="H129" s="32">
        <f t="shared" si="1"/>
        <v>-66250</v>
      </c>
    </row>
    <row r="130" spans="1:16">
      <c r="A130" s="139" t="s">
        <v>439</v>
      </c>
      <c r="B130" s="139" t="s">
        <v>440</v>
      </c>
      <c r="C130" s="139" t="s">
        <v>156</v>
      </c>
      <c r="D130" s="139" t="s">
        <v>162</v>
      </c>
      <c r="E130" s="139" t="s">
        <v>100</v>
      </c>
      <c r="F130" s="115">
        <v>-63416.35</v>
      </c>
      <c r="G130" s="116"/>
      <c r="H130" s="32">
        <f t="shared" si="1"/>
        <v>-63416.35</v>
      </c>
    </row>
    <row r="131" spans="1:16">
      <c r="A131" s="139" t="s">
        <v>441</v>
      </c>
      <c r="B131" s="139" t="s">
        <v>2160</v>
      </c>
      <c r="C131" s="139" t="s">
        <v>156</v>
      </c>
      <c r="D131" s="139" t="s">
        <v>162</v>
      </c>
      <c r="E131" s="139" t="s">
        <v>100</v>
      </c>
      <c r="F131" s="115">
        <v>0</v>
      </c>
      <c r="G131" s="116"/>
      <c r="H131" s="32">
        <f t="shared" si="1"/>
        <v>0</v>
      </c>
    </row>
    <row r="132" spans="1:16">
      <c r="A132" s="139" t="s">
        <v>443</v>
      </c>
      <c r="B132" s="139" t="s">
        <v>216</v>
      </c>
      <c r="C132" s="139" t="s">
        <v>156</v>
      </c>
      <c r="D132" s="139" t="s">
        <v>162</v>
      </c>
      <c r="E132" s="139" t="s">
        <v>100</v>
      </c>
      <c r="F132" s="115">
        <v>116320.98</v>
      </c>
      <c r="G132" s="116"/>
      <c r="H132" s="32">
        <f t="shared" si="1"/>
        <v>116320.98</v>
      </c>
    </row>
    <row r="133" spans="1:16">
      <c r="A133" s="139" t="s">
        <v>445</v>
      </c>
      <c r="B133" s="139" t="s">
        <v>446</v>
      </c>
      <c r="C133" s="139" t="s">
        <v>156</v>
      </c>
      <c r="D133" s="139" t="s">
        <v>162</v>
      </c>
      <c r="E133" s="139" t="s">
        <v>100</v>
      </c>
      <c r="F133" s="115">
        <v>0</v>
      </c>
      <c r="G133" s="116"/>
      <c r="H133" s="32">
        <f t="shared" si="1"/>
        <v>0</v>
      </c>
    </row>
    <row r="134" spans="1:16">
      <c r="A134" s="139" t="s">
        <v>447</v>
      </c>
      <c r="B134" s="139" t="s">
        <v>448</v>
      </c>
      <c r="C134" s="139" t="s">
        <v>156</v>
      </c>
      <c r="D134" s="139" t="s">
        <v>162</v>
      </c>
      <c r="E134" s="139" t="s">
        <v>100</v>
      </c>
      <c r="F134" s="115">
        <v>603634.76</v>
      </c>
      <c r="G134" s="116">
        <f>4046.88+4625+757.5+50937.5+58885.42+44416.17</f>
        <v>163668.47</v>
      </c>
      <c r="H134" s="32">
        <f t="shared" ref="H134:H196" si="2">SUM(F134:G134)</f>
        <v>767303.23</v>
      </c>
    </row>
    <row r="135" spans="1:16">
      <c r="A135" s="139" t="s">
        <v>449</v>
      </c>
      <c r="B135" s="139" t="s">
        <v>450</v>
      </c>
      <c r="C135" s="139" t="s">
        <v>156</v>
      </c>
      <c r="D135" s="139" t="s">
        <v>162</v>
      </c>
      <c r="E135" s="139" t="s">
        <v>100</v>
      </c>
      <c r="F135" s="115">
        <v>312.48</v>
      </c>
      <c r="G135" s="116"/>
      <c r="H135" s="32">
        <f t="shared" si="2"/>
        <v>312.48</v>
      </c>
    </row>
    <row r="136" spans="1:16">
      <c r="A136" s="139" t="s">
        <v>451</v>
      </c>
      <c r="B136" s="139" t="s">
        <v>2161</v>
      </c>
      <c r="C136" s="139" t="s">
        <v>156</v>
      </c>
      <c r="D136" s="139" t="s">
        <v>162</v>
      </c>
      <c r="E136" s="139" t="s">
        <v>100</v>
      </c>
      <c r="F136" s="115">
        <v>367131.65</v>
      </c>
      <c r="G136" s="116"/>
      <c r="H136" s="32">
        <f t="shared" si="2"/>
        <v>367131.65</v>
      </c>
    </row>
    <row r="137" spans="1:16">
      <c r="A137" s="139" t="s">
        <v>453</v>
      </c>
      <c r="B137" s="139" t="s">
        <v>454</v>
      </c>
      <c r="C137" s="139" t="s">
        <v>156</v>
      </c>
      <c r="D137" s="139" t="s">
        <v>162</v>
      </c>
      <c r="E137" s="139" t="s">
        <v>100</v>
      </c>
      <c r="F137" s="115">
        <v>0</v>
      </c>
      <c r="G137" s="116"/>
      <c r="H137" s="32">
        <f t="shared" si="2"/>
        <v>0</v>
      </c>
    </row>
    <row r="138" spans="1:16">
      <c r="A138" s="139" t="s">
        <v>455</v>
      </c>
      <c r="B138" s="139" t="s">
        <v>456</v>
      </c>
      <c r="C138" s="139" t="s">
        <v>156</v>
      </c>
      <c r="D138" s="139" t="s">
        <v>162</v>
      </c>
      <c r="E138" s="139" t="s">
        <v>100</v>
      </c>
      <c r="F138" s="115">
        <v>246.79</v>
      </c>
      <c r="G138" s="116"/>
      <c r="H138" s="32">
        <f t="shared" si="2"/>
        <v>246.79</v>
      </c>
    </row>
    <row r="139" spans="1:16">
      <c r="A139" s="139" t="s">
        <v>457</v>
      </c>
      <c r="B139" s="139" t="s">
        <v>458</v>
      </c>
      <c r="C139" s="139" t="s">
        <v>156</v>
      </c>
      <c r="D139" s="139" t="s">
        <v>162</v>
      </c>
      <c r="E139" s="139" t="s">
        <v>100</v>
      </c>
      <c r="F139" s="115">
        <v>74568.460000000006</v>
      </c>
      <c r="G139" s="116"/>
      <c r="H139" s="32">
        <f t="shared" si="2"/>
        <v>74568.460000000006</v>
      </c>
    </row>
    <row r="140" spans="1:16">
      <c r="A140" s="139" t="s">
        <v>459</v>
      </c>
      <c r="B140" s="139" t="s">
        <v>460</v>
      </c>
      <c r="C140" s="139" t="s">
        <v>156</v>
      </c>
      <c r="D140" s="139" t="s">
        <v>162</v>
      </c>
      <c r="E140" s="139" t="s">
        <v>100</v>
      </c>
      <c r="F140" s="115">
        <v>5695.07</v>
      </c>
      <c r="G140" s="116"/>
      <c r="H140" s="32">
        <f t="shared" si="2"/>
        <v>5695.07</v>
      </c>
    </row>
    <row r="141" spans="1:16">
      <c r="A141" s="139" t="s">
        <v>461</v>
      </c>
      <c r="B141" s="139" t="s">
        <v>462</v>
      </c>
      <c r="C141" s="139" t="s">
        <v>156</v>
      </c>
      <c r="D141" s="139" t="s">
        <v>169</v>
      </c>
      <c r="E141" s="139" t="s">
        <v>463</v>
      </c>
      <c r="F141" s="115">
        <v>1104493.8400000001</v>
      </c>
      <c r="G141" s="116"/>
      <c r="H141" s="32"/>
    </row>
    <row r="142" spans="1:16" ht="16">
      <c r="A142" s="139" t="s">
        <v>464</v>
      </c>
      <c r="B142" s="139" t="s">
        <v>465</v>
      </c>
      <c r="C142" s="139" t="s">
        <v>156</v>
      </c>
      <c r="D142" s="139" t="s">
        <v>157</v>
      </c>
      <c r="E142" s="139" t="s">
        <v>100</v>
      </c>
      <c r="F142" s="115">
        <v>0</v>
      </c>
      <c r="G142" s="116"/>
      <c r="H142" s="32">
        <f t="shared" si="2"/>
        <v>0</v>
      </c>
      <c r="K142" s="137" t="s">
        <v>429</v>
      </c>
      <c r="L142" s="136"/>
      <c r="M142" s="136"/>
      <c r="N142" s="136"/>
      <c r="O142" s="136"/>
      <c r="P142" s="136"/>
    </row>
    <row r="143" spans="1:16">
      <c r="A143" s="139" t="s">
        <v>466</v>
      </c>
      <c r="B143" s="139" t="s">
        <v>467</v>
      </c>
      <c r="C143" s="139" t="s">
        <v>156</v>
      </c>
      <c r="D143" s="139" t="s">
        <v>157</v>
      </c>
      <c r="E143" s="139" t="s">
        <v>100</v>
      </c>
      <c r="F143" s="115">
        <v>0</v>
      </c>
      <c r="G143" s="116"/>
      <c r="H143" s="32">
        <f t="shared" si="2"/>
        <v>0</v>
      </c>
      <c r="K143" s="138" t="s">
        <v>432</v>
      </c>
      <c r="L143" s="138" t="s">
        <v>148</v>
      </c>
      <c r="M143" s="138" t="s">
        <v>433</v>
      </c>
      <c r="N143" s="138" t="s">
        <v>475</v>
      </c>
      <c r="O143" s="138" t="s">
        <v>476</v>
      </c>
      <c r="P143" s="138" t="s">
        <v>477</v>
      </c>
    </row>
    <row r="144" spans="1:16">
      <c r="A144" s="139" t="s">
        <v>468</v>
      </c>
      <c r="B144" s="139" t="s">
        <v>469</v>
      </c>
      <c r="C144" s="139" t="s">
        <v>156</v>
      </c>
      <c r="D144" s="139" t="s">
        <v>157</v>
      </c>
      <c r="E144" s="139" t="s">
        <v>100</v>
      </c>
      <c r="F144" s="115">
        <v>0</v>
      </c>
      <c r="G144" s="116"/>
      <c r="H144" s="32">
        <f t="shared" si="2"/>
        <v>0</v>
      </c>
      <c r="K144" s="139" t="s">
        <v>464</v>
      </c>
      <c r="L144" s="139" t="s">
        <v>465</v>
      </c>
      <c r="M144" s="140">
        <v>0</v>
      </c>
      <c r="N144" s="140">
        <v>0</v>
      </c>
      <c r="O144" s="140">
        <v>0</v>
      </c>
      <c r="P144" s="140">
        <v>0</v>
      </c>
    </row>
    <row r="145" spans="1:16">
      <c r="A145" s="139" t="s">
        <v>470</v>
      </c>
      <c r="B145" s="139" t="s">
        <v>155</v>
      </c>
      <c r="C145" s="139" t="s">
        <v>156</v>
      </c>
      <c r="D145" s="139" t="s">
        <v>157</v>
      </c>
      <c r="E145" s="139" t="s">
        <v>100</v>
      </c>
      <c r="F145" s="115">
        <v>0</v>
      </c>
      <c r="G145" s="116"/>
      <c r="H145" s="32">
        <f t="shared" si="2"/>
        <v>0</v>
      </c>
      <c r="K145" s="139" t="s">
        <v>466</v>
      </c>
      <c r="L145" s="139" t="s">
        <v>467</v>
      </c>
      <c r="M145" s="140">
        <v>0</v>
      </c>
      <c r="N145" s="140">
        <v>0</v>
      </c>
      <c r="O145" s="140">
        <v>0</v>
      </c>
      <c r="P145" s="140">
        <v>0</v>
      </c>
    </row>
    <row r="146" spans="1:16">
      <c r="A146" s="139" t="s">
        <v>471</v>
      </c>
      <c r="B146" s="139" t="s">
        <v>472</v>
      </c>
      <c r="C146" s="139" t="s">
        <v>156</v>
      </c>
      <c r="D146" s="139" t="s">
        <v>162</v>
      </c>
      <c r="E146" s="139" t="s">
        <v>100</v>
      </c>
      <c r="F146" s="115">
        <v>-3438504.62</v>
      </c>
      <c r="G146" s="116"/>
      <c r="H146" s="32">
        <f t="shared" si="2"/>
        <v>-3438504.62</v>
      </c>
      <c r="K146" s="139" t="s">
        <v>468</v>
      </c>
      <c r="L146" s="139" t="s">
        <v>469</v>
      </c>
      <c r="M146" s="140">
        <v>0</v>
      </c>
      <c r="N146" s="140">
        <v>0</v>
      </c>
      <c r="O146" s="140">
        <v>0</v>
      </c>
      <c r="P146" s="140">
        <v>0</v>
      </c>
    </row>
    <row r="147" spans="1:16">
      <c r="A147" s="139" t="s">
        <v>473</v>
      </c>
      <c r="B147" s="139" t="s">
        <v>474</v>
      </c>
      <c r="C147" s="139" t="s">
        <v>156</v>
      </c>
      <c r="D147" s="139" t="s">
        <v>162</v>
      </c>
      <c r="E147" s="139" t="s">
        <v>100</v>
      </c>
      <c r="F147" s="115">
        <v>-1517909</v>
      </c>
      <c r="G147" s="116"/>
      <c r="H147" s="32">
        <f t="shared" si="2"/>
        <v>-1517909</v>
      </c>
      <c r="K147" s="139" t="s">
        <v>470</v>
      </c>
      <c r="L147" s="139" t="s">
        <v>155</v>
      </c>
      <c r="M147" s="140">
        <v>0</v>
      </c>
      <c r="N147" s="140">
        <v>0</v>
      </c>
      <c r="O147" s="140">
        <v>0</v>
      </c>
      <c r="P147" s="140">
        <v>0</v>
      </c>
    </row>
    <row r="148" spans="1:16">
      <c r="A148" s="139" t="s">
        <v>478</v>
      </c>
      <c r="B148" s="139" t="s">
        <v>479</v>
      </c>
      <c r="C148" s="139" t="s">
        <v>156</v>
      </c>
      <c r="D148" s="139" t="s">
        <v>162</v>
      </c>
      <c r="E148" s="139" t="s">
        <v>100</v>
      </c>
      <c r="F148" s="115">
        <v>344725.93</v>
      </c>
      <c r="G148" s="116"/>
      <c r="H148" s="32">
        <f t="shared" si="2"/>
        <v>344725.93</v>
      </c>
      <c r="K148" s="139" t="s">
        <v>471</v>
      </c>
      <c r="L148" s="139" t="s">
        <v>472</v>
      </c>
      <c r="M148" s="140">
        <v>-3438504.62</v>
      </c>
      <c r="N148" s="140">
        <v>-1148642</v>
      </c>
      <c r="O148" s="140">
        <v>-2218362.62</v>
      </c>
      <c r="P148" s="140">
        <v>-71500</v>
      </c>
    </row>
    <row r="149" spans="1:16">
      <c r="A149" s="139" t="s">
        <v>480</v>
      </c>
      <c r="B149" s="139" t="s">
        <v>481</v>
      </c>
      <c r="C149" s="139" t="s">
        <v>156</v>
      </c>
      <c r="D149" s="139" t="s">
        <v>162</v>
      </c>
      <c r="E149" s="139" t="s">
        <v>100</v>
      </c>
      <c r="F149" s="115">
        <v>-817818.61</v>
      </c>
      <c r="G149" s="116"/>
      <c r="H149" s="32">
        <f t="shared" si="2"/>
        <v>-817818.61</v>
      </c>
      <c r="K149" s="139" t="s">
        <v>473</v>
      </c>
      <c r="L149" s="139" t="s">
        <v>474</v>
      </c>
      <c r="M149" s="140">
        <v>-1517909</v>
      </c>
      <c r="N149" s="140">
        <v>-140451</v>
      </c>
      <c r="O149" s="140">
        <v>-1377458</v>
      </c>
      <c r="P149" s="140">
        <v>0</v>
      </c>
    </row>
    <row r="150" spans="1:16">
      <c r="A150" s="139" t="s">
        <v>482</v>
      </c>
      <c r="B150" s="139" t="s">
        <v>278</v>
      </c>
      <c r="C150" s="139" t="s">
        <v>156</v>
      </c>
      <c r="D150" s="139" t="s">
        <v>169</v>
      </c>
      <c r="E150" s="139" t="s">
        <v>483</v>
      </c>
      <c r="F150" s="115">
        <v>-5429506.2999999998</v>
      </c>
      <c r="G150" s="116"/>
      <c r="H150" s="32"/>
      <c r="K150" s="139" t="s">
        <v>478</v>
      </c>
      <c r="L150" s="139" t="s">
        <v>479</v>
      </c>
      <c r="M150" s="140">
        <v>344725.93</v>
      </c>
      <c r="N150" s="140">
        <v>64601.279999999999</v>
      </c>
      <c r="O150" s="140">
        <v>280124.65000000002</v>
      </c>
      <c r="P150" s="140">
        <v>0</v>
      </c>
    </row>
    <row r="151" spans="1:16">
      <c r="A151" s="139" t="s">
        <v>484</v>
      </c>
      <c r="B151" s="139" t="s">
        <v>485</v>
      </c>
      <c r="C151" s="139" t="s">
        <v>156</v>
      </c>
      <c r="D151" s="139" t="s">
        <v>157</v>
      </c>
      <c r="E151" s="139" t="s">
        <v>100</v>
      </c>
      <c r="F151" s="115">
        <v>0</v>
      </c>
      <c r="G151" s="116"/>
      <c r="H151" s="32">
        <f t="shared" si="2"/>
        <v>0</v>
      </c>
      <c r="K151" s="139" t="s">
        <v>480</v>
      </c>
      <c r="L151" s="139" t="s">
        <v>481</v>
      </c>
      <c r="M151" s="140">
        <v>-817818.61</v>
      </c>
      <c r="N151" s="140">
        <v>-43040.7</v>
      </c>
      <c r="O151" s="140">
        <v>-745170.08</v>
      </c>
      <c r="P151" s="140">
        <v>-29607.83</v>
      </c>
    </row>
    <row r="152" spans="1:16">
      <c r="A152" s="139" t="s">
        <v>486</v>
      </c>
      <c r="B152" s="139" t="s">
        <v>487</v>
      </c>
      <c r="C152" s="139" t="s">
        <v>156</v>
      </c>
      <c r="D152" s="139" t="s">
        <v>162</v>
      </c>
      <c r="E152" s="139" t="s">
        <v>100</v>
      </c>
      <c r="F152" s="115">
        <v>240030.54</v>
      </c>
      <c r="G152" s="116"/>
      <c r="H152" s="32">
        <f t="shared" si="2"/>
        <v>240030.54</v>
      </c>
      <c r="K152" s="139" t="s">
        <v>482</v>
      </c>
      <c r="L152" s="139" t="s">
        <v>278</v>
      </c>
      <c r="M152" s="123"/>
      <c r="N152" s="123"/>
      <c r="O152" s="123"/>
      <c r="P152" s="123"/>
    </row>
    <row r="153" spans="1:16">
      <c r="A153" s="139" t="s">
        <v>488</v>
      </c>
      <c r="B153" s="139" t="s">
        <v>489</v>
      </c>
      <c r="C153" s="139" t="s">
        <v>156</v>
      </c>
      <c r="D153" s="139" t="s">
        <v>162</v>
      </c>
      <c r="E153" s="139" t="s">
        <v>100</v>
      </c>
      <c r="F153" s="115">
        <v>243162.23999999999</v>
      </c>
      <c r="G153" s="116"/>
      <c r="H153" s="32">
        <f t="shared" si="2"/>
        <v>243162.23999999999</v>
      </c>
      <c r="K153" s="139" t="s">
        <v>484</v>
      </c>
      <c r="L153" s="139" t="s">
        <v>485</v>
      </c>
      <c r="M153" s="123"/>
      <c r="N153" s="123"/>
      <c r="O153" s="123"/>
      <c r="P153" s="123"/>
    </row>
    <row r="154" spans="1:16">
      <c r="A154" s="139" t="s">
        <v>490</v>
      </c>
      <c r="B154" s="139" t="s">
        <v>491</v>
      </c>
      <c r="C154" s="139" t="s">
        <v>156</v>
      </c>
      <c r="D154" s="139" t="s">
        <v>162</v>
      </c>
      <c r="E154" s="139" t="s">
        <v>100</v>
      </c>
      <c r="F154" s="115">
        <v>42795.7</v>
      </c>
      <c r="G154" s="116">
        <v>3365.63</v>
      </c>
      <c r="H154" s="32">
        <f t="shared" si="2"/>
        <v>46161.329999999994</v>
      </c>
      <c r="K154" s="139" t="s">
        <v>486</v>
      </c>
      <c r="L154" s="139" t="s">
        <v>487</v>
      </c>
      <c r="M154" s="140">
        <v>240030.54</v>
      </c>
      <c r="N154" s="123">
        <v>100812.76</v>
      </c>
      <c r="O154" s="140">
        <v>139217.78</v>
      </c>
      <c r="P154" s="140">
        <v>0</v>
      </c>
    </row>
    <row r="155" spans="1:16">
      <c r="A155" s="139" t="s">
        <v>492</v>
      </c>
      <c r="B155" s="139" t="s">
        <v>493</v>
      </c>
      <c r="C155" s="139" t="s">
        <v>156</v>
      </c>
      <c r="D155" s="139" t="s">
        <v>162</v>
      </c>
      <c r="E155" s="139" t="s">
        <v>100</v>
      </c>
      <c r="F155" s="115">
        <v>3990.94</v>
      </c>
      <c r="G155" s="116">
        <v>2964.64</v>
      </c>
      <c r="H155" s="32">
        <f t="shared" si="2"/>
        <v>6955.58</v>
      </c>
      <c r="K155" s="139" t="s">
        <v>488</v>
      </c>
      <c r="L155" s="139" t="s">
        <v>489</v>
      </c>
      <c r="M155" s="140">
        <v>243162.23999999999</v>
      </c>
      <c r="N155" s="140">
        <v>215137.97</v>
      </c>
      <c r="O155" s="140">
        <v>28024.27</v>
      </c>
      <c r="P155" s="140">
        <v>0</v>
      </c>
    </row>
    <row r="156" spans="1:16">
      <c r="A156" s="139" t="s">
        <v>494</v>
      </c>
      <c r="B156" s="139" t="s">
        <v>495</v>
      </c>
      <c r="C156" s="139" t="s">
        <v>156</v>
      </c>
      <c r="D156" s="139" t="s">
        <v>162</v>
      </c>
      <c r="E156" s="139" t="s">
        <v>100</v>
      </c>
      <c r="F156" s="115">
        <v>246527.23</v>
      </c>
      <c r="G156" s="116">
        <f>47103.75-47103.75</f>
        <v>0</v>
      </c>
      <c r="H156" s="32">
        <f t="shared" si="2"/>
        <v>246527.23</v>
      </c>
      <c r="I156" t="s">
        <v>2162</v>
      </c>
      <c r="J156" t="s">
        <v>2163</v>
      </c>
      <c r="K156" s="139" t="s">
        <v>490</v>
      </c>
      <c r="L156" s="139" t="s">
        <v>491</v>
      </c>
      <c r="M156" s="140">
        <v>42795.7</v>
      </c>
      <c r="N156" s="140">
        <f>18420.71+3365.63</f>
        <v>21786.34</v>
      </c>
      <c r="O156" s="140">
        <v>24374.99</v>
      </c>
      <c r="P156" s="140">
        <v>0</v>
      </c>
    </row>
    <row r="157" spans="1:16">
      <c r="A157" s="139" t="s">
        <v>496</v>
      </c>
      <c r="B157" s="139" t="s">
        <v>497</v>
      </c>
      <c r="C157" s="139" t="s">
        <v>156</v>
      </c>
      <c r="D157" s="139" t="s">
        <v>162</v>
      </c>
      <c r="E157" s="139" t="s">
        <v>100</v>
      </c>
      <c r="F157" s="115">
        <v>1135105.26</v>
      </c>
      <c r="G157" s="116">
        <f>860.92+11350.06+2721.95-21641.45</f>
        <v>-6708.52</v>
      </c>
      <c r="H157" s="32">
        <f t="shared" si="2"/>
        <v>1128396.74</v>
      </c>
      <c r="I157" t="s">
        <v>2162</v>
      </c>
      <c r="K157" s="139" t="s">
        <v>492</v>
      </c>
      <c r="L157" s="139" t="s">
        <v>493</v>
      </c>
      <c r="M157" s="140">
        <v>3990.94</v>
      </c>
      <c r="N157" s="140">
        <f>1909.23+2964.64</f>
        <v>4873.87</v>
      </c>
      <c r="O157" s="140">
        <v>2081.71</v>
      </c>
      <c r="P157" s="140">
        <v>0</v>
      </c>
    </row>
    <row r="158" spans="1:16">
      <c r="A158" s="139" t="s">
        <v>498</v>
      </c>
      <c r="B158" s="139" t="s">
        <v>499</v>
      </c>
      <c r="C158" s="139" t="s">
        <v>156</v>
      </c>
      <c r="D158" s="139" t="s">
        <v>162</v>
      </c>
      <c r="E158" s="139" t="s">
        <v>100</v>
      </c>
      <c r="F158" s="115">
        <v>-11734</v>
      </c>
      <c r="G158" s="116"/>
      <c r="H158" s="32">
        <f t="shared" si="2"/>
        <v>-11734</v>
      </c>
      <c r="K158" s="139" t="s">
        <v>494</v>
      </c>
      <c r="L158" s="139" t="s">
        <v>495</v>
      </c>
      <c r="M158" s="140">
        <v>246527.23</v>
      </c>
      <c r="N158" s="140">
        <f>125142.26-47104</f>
        <v>78038.259999999995</v>
      </c>
      <c r="O158" s="140">
        <f>121384.97+47104</f>
        <v>168488.97</v>
      </c>
      <c r="P158" s="140">
        <v>0</v>
      </c>
    </row>
    <row r="159" spans="1:16">
      <c r="A159" s="139" t="s">
        <v>500</v>
      </c>
      <c r="B159" s="139" t="s">
        <v>501</v>
      </c>
      <c r="C159" s="139" t="s">
        <v>156</v>
      </c>
      <c r="D159" s="139" t="s">
        <v>162</v>
      </c>
      <c r="E159" s="139" t="s">
        <v>100</v>
      </c>
      <c r="F159" s="115">
        <v>31764.05</v>
      </c>
      <c r="G159" s="116"/>
      <c r="H159" s="32">
        <f t="shared" si="2"/>
        <v>31764.05</v>
      </c>
      <c r="K159" s="139" t="s">
        <v>496</v>
      </c>
      <c r="L159" s="139" t="s">
        <v>497</v>
      </c>
      <c r="M159" s="140">
        <v>1150038.19</v>
      </c>
      <c r="N159" s="140">
        <f>477882.58-21641.45</f>
        <v>456241.13</v>
      </c>
      <c r="O159" s="140">
        <v>672155.61</v>
      </c>
      <c r="P159" s="140">
        <v>0</v>
      </c>
    </row>
    <row r="160" spans="1:16">
      <c r="A160" s="139" t="s">
        <v>502</v>
      </c>
      <c r="B160" s="139" t="s">
        <v>503</v>
      </c>
      <c r="C160" s="139" t="s">
        <v>156</v>
      </c>
      <c r="D160" s="139" t="s">
        <v>169</v>
      </c>
      <c r="E160" s="139" t="s">
        <v>504</v>
      </c>
      <c r="F160" s="115">
        <v>1931641.96</v>
      </c>
      <c r="G160" s="116"/>
      <c r="H160" s="32"/>
      <c r="K160" s="139" t="s">
        <v>498</v>
      </c>
      <c r="L160" s="139" t="s">
        <v>499</v>
      </c>
      <c r="M160" s="140">
        <v>-11734</v>
      </c>
      <c r="N160" s="140">
        <v>0</v>
      </c>
      <c r="O160" s="140">
        <v>-11734</v>
      </c>
      <c r="P160" s="140">
        <v>0</v>
      </c>
    </row>
    <row r="161" spans="1:16">
      <c r="A161" s="139" t="s">
        <v>505</v>
      </c>
      <c r="B161" s="139" t="s">
        <v>284</v>
      </c>
      <c r="C161" s="139" t="s">
        <v>156</v>
      </c>
      <c r="D161" s="139" t="s">
        <v>157</v>
      </c>
      <c r="E161" s="139" t="s">
        <v>100</v>
      </c>
      <c r="F161" s="115">
        <v>0</v>
      </c>
      <c r="G161" s="116"/>
      <c r="H161" s="32">
        <f t="shared" si="2"/>
        <v>0</v>
      </c>
      <c r="K161" s="139" t="s">
        <v>500</v>
      </c>
      <c r="L161" s="139" t="s">
        <v>501</v>
      </c>
      <c r="M161" s="140">
        <v>31764.05</v>
      </c>
      <c r="N161" s="140">
        <v>0</v>
      </c>
      <c r="O161" s="140">
        <v>31764.05</v>
      </c>
      <c r="P161" s="140">
        <v>0</v>
      </c>
    </row>
    <row r="162" spans="1:16">
      <c r="A162" s="139" t="s">
        <v>506</v>
      </c>
      <c r="B162" s="139" t="s">
        <v>507</v>
      </c>
      <c r="C162" s="139" t="s">
        <v>156</v>
      </c>
      <c r="D162" s="139" t="s">
        <v>162</v>
      </c>
      <c r="E162" s="139" t="s">
        <v>100</v>
      </c>
      <c r="F162" s="115">
        <v>2735102.03</v>
      </c>
      <c r="G162" s="116"/>
      <c r="H162" s="32">
        <f t="shared" si="2"/>
        <v>2735102.03</v>
      </c>
      <c r="K162" s="139" t="s">
        <v>502</v>
      </c>
      <c r="L162" s="139" t="s">
        <v>503</v>
      </c>
      <c r="M162" s="123"/>
      <c r="N162" s="123"/>
      <c r="O162" s="123"/>
      <c r="P162" s="123"/>
    </row>
    <row r="163" spans="1:16">
      <c r="A163" s="139" t="s">
        <v>508</v>
      </c>
      <c r="B163" s="139" t="s">
        <v>300</v>
      </c>
      <c r="C163" s="139" t="s">
        <v>156</v>
      </c>
      <c r="D163" s="139" t="s">
        <v>162</v>
      </c>
      <c r="E163" s="139" t="s">
        <v>100</v>
      </c>
      <c r="F163" s="115">
        <v>121178.55</v>
      </c>
      <c r="G163" s="116"/>
      <c r="H163" s="32">
        <f t="shared" si="2"/>
        <v>121178.55</v>
      </c>
      <c r="K163" s="139" t="s">
        <v>505</v>
      </c>
      <c r="L163" s="139" t="s">
        <v>284</v>
      </c>
      <c r="M163" s="123"/>
      <c r="N163" s="123"/>
      <c r="O163" s="123"/>
      <c r="P163" s="123"/>
    </row>
    <row r="164" spans="1:16">
      <c r="A164" s="139" t="s">
        <v>509</v>
      </c>
      <c r="B164" s="139" t="s">
        <v>294</v>
      </c>
      <c r="C164" s="139" t="s">
        <v>156</v>
      </c>
      <c r="D164" s="139" t="s">
        <v>162</v>
      </c>
      <c r="E164" s="139" t="s">
        <v>100</v>
      </c>
      <c r="F164" s="115">
        <v>-9669.24</v>
      </c>
      <c r="G164" s="116">
        <v>-3273.48</v>
      </c>
      <c r="H164" s="32">
        <f t="shared" si="2"/>
        <v>-12942.72</v>
      </c>
      <c r="K164" s="139" t="s">
        <v>506</v>
      </c>
      <c r="L164" s="139" t="s">
        <v>507</v>
      </c>
      <c r="M164" s="140">
        <v>2735102.03</v>
      </c>
      <c r="N164" s="140">
        <v>590283.59</v>
      </c>
      <c r="O164" s="140">
        <v>2144818.44</v>
      </c>
      <c r="P164" s="140">
        <v>0</v>
      </c>
    </row>
    <row r="165" spans="1:16">
      <c r="A165" s="139" t="s">
        <v>510</v>
      </c>
      <c r="B165" s="139" t="s">
        <v>511</v>
      </c>
      <c r="C165" s="139" t="s">
        <v>156</v>
      </c>
      <c r="D165" s="139" t="s">
        <v>162</v>
      </c>
      <c r="E165" s="139" t="s">
        <v>100</v>
      </c>
      <c r="F165" s="115">
        <v>142849.89000000001</v>
      </c>
      <c r="G165" s="116"/>
      <c r="H165" s="32">
        <f t="shared" si="2"/>
        <v>142849.89000000001</v>
      </c>
      <c r="K165" s="139" t="s">
        <v>508</v>
      </c>
      <c r="L165" s="139" t="s">
        <v>300</v>
      </c>
      <c r="M165" s="140">
        <v>121178.55</v>
      </c>
      <c r="N165" s="140">
        <v>41214.6</v>
      </c>
      <c r="O165" s="140">
        <v>79963.95</v>
      </c>
      <c r="P165" s="140">
        <v>0</v>
      </c>
    </row>
    <row r="166" spans="1:16">
      <c r="A166" s="139" t="s">
        <v>512</v>
      </c>
      <c r="B166" s="139" t="s">
        <v>513</v>
      </c>
      <c r="C166" s="139" t="s">
        <v>156</v>
      </c>
      <c r="D166" s="139" t="s">
        <v>162</v>
      </c>
      <c r="E166" s="139" t="s">
        <v>100</v>
      </c>
      <c r="F166" s="115">
        <v>292002.83</v>
      </c>
      <c r="G166" s="116"/>
      <c r="H166" s="32">
        <f t="shared" si="2"/>
        <v>292002.83</v>
      </c>
      <c r="K166" s="139" t="s">
        <v>509</v>
      </c>
      <c r="L166" s="139" t="s">
        <v>294</v>
      </c>
      <c r="M166" s="140">
        <v>-12942.72</v>
      </c>
      <c r="N166" s="140">
        <v>0</v>
      </c>
      <c r="O166" s="140">
        <v>-12942.72</v>
      </c>
      <c r="P166" s="140">
        <v>0</v>
      </c>
    </row>
    <row r="167" spans="1:16">
      <c r="A167" s="139" t="s">
        <v>514</v>
      </c>
      <c r="B167" s="139" t="s">
        <v>515</v>
      </c>
      <c r="C167" s="139" t="s">
        <v>156</v>
      </c>
      <c r="D167" s="139" t="s">
        <v>162</v>
      </c>
      <c r="E167" s="139" t="s">
        <v>100</v>
      </c>
      <c r="F167" s="115">
        <v>-76607.360000000001</v>
      </c>
      <c r="G167" s="116"/>
      <c r="H167" s="32">
        <f t="shared" si="2"/>
        <v>-76607.360000000001</v>
      </c>
      <c r="K167" s="139" t="s">
        <v>510</v>
      </c>
      <c r="L167" s="139" t="s">
        <v>511</v>
      </c>
      <c r="M167" s="140">
        <v>142849.89000000001</v>
      </c>
      <c r="N167" s="140">
        <v>24872.38</v>
      </c>
      <c r="O167" s="140">
        <v>117977.51</v>
      </c>
      <c r="P167" s="140">
        <v>0</v>
      </c>
    </row>
    <row r="168" spans="1:16">
      <c r="A168" s="139" t="s">
        <v>516</v>
      </c>
      <c r="B168" s="139" t="s">
        <v>306</v>
      </c>
      <c r="C168" s="139" t="s">
        <v>156</v>
      </c>
      <c r="D168" s="139" t="s">
        <v>162</v>
      </c>
      <c r="E168" s="139" t="s">
        <v>100</v>
      </c>
      <c r="F168" s="115">
        <v>59789.36</v>
      </c>
      <c r="G168" s="116"/>
      <c r="H168" s="32">
        <f t="shared" si="2"/>
        <v>59789.36</v>
      </c>
      <c r="K168" s="139" t="s">
        <v>512</v>
      </c>
      <c r="L168" s="139" t="s">
        <v>513</v>
      </c>
      <c r="M168" s="140">
        <v>292002.83</v>
      </c>
      <c r="N168" s="140">
        <v>63247.47</v>
      </c>
      <c r="O168" s="140">
        <v>228755.36</v>
      </c>
      <c r="P168" s="140">
        <v>0</v>
      </c>
    </row>
    <row r="169" spans="1:16">
      <c r="A169" s="139" t="s">
        <v>517</v>
      </c>
      <c r="B169" s="139" t="s">
        <v>317</v>
      </c>
      <c r="C169" s="139" t="s">
        <v>156</v>
      </c>
      <c r="D169" s="139" t="s">
        <v>162</v>
      </c>
      <c r="E169" s="139" t="s">
        <v>100</v>
      </c>
      <c r="F169" s="115">
        <v>83737.289999999994</v>
      </c>
      <c r="G169" s="116"/>
      <c r="H169" s="32">
        <f t="shared" si="2"/>
        <v>83737.289999999994</v>
      </c>
      <c r="K169" s="139" t="s">
        <v>514</v>
      </c>
      <c r="L169" s="139" t="s">
        <v>515</v>
      </c>
      <c r="M169" s="140">
        <v>-76607.360000000001</v>
      </c>
      <c r="N169" s="140">
        <v>-53037.06</v>
      </c>
      <c r="O169" s="140">
        <v>-23570.3</v>
      </c>
      <c r="P169" s="140">
        <v>0</v>
      </c>
    </row>
    <row r="170" spans="1:16">
      <c r="A170" s="139" t="s">
        <v>518</v>
      </c>
      <c r="B170" s="139" t="s">
        <v>519</v>
      </c>
      <c r="C170" s="139" t="s">
        <v>156</v>
      </c>
      <c r="D170" s="139" t="s">
        <v>162</v>
      </c>
      <c r="E170" s="139" t="s">
        <v>100</v>
      </c>
      <c r="F170" s="115">
        <v>135504.66</v>
      </c>
      <c r="G170" s="116"/>
      <c r="H170" s="32">
        <f t="shared" si="2"/>
        <v>135504.66</v>
      </c>
      <c r="K170" s="139" t="s">
        <v>516</v>
      </c>
      <c r="L170" s="139" t="s">
        <v>306</v>
      </c>
      <c r="M170" s="140">
        <v>59789.36</v>
      </c>
      <c r="N170" s="140">
        <v>28261.69</v>
      </c>
      <c r="O170" s="140">
        <v>31527.67</v>
      </c>
      <c r="P170" s="140">
        <v>0</v>
      </c>
    </row>
    <row r="171" spans="1:16">
      <c r="A171" s="139" t="s">
        <v>520</v>
      </c>
      <c r="B171" s="139" t="s">
        <v>521</v>
      </c>
      <c r="C171" s="139" t="s">
        <v>156</v>
      </c>
      <c r="D171" s="139" t="s">
        <v>162</v>
      </c>
      <c r="E171" s="139" t="s">
        <v>100</v>
      </c>
      <c r="F171" s="115">
        <v>3788.09</v>
      </c>
      <c r="G171" s="116"/>
      <c r="H171" s="32">
        <f t="shared" si="2"/>
        <v>3788.09</v>
      </c>
      <c r="K171" s="139" t="s">
        <v>517</v>
      </c>
      <c r="L171" s="139" t="s">
        <v>317</v>
      </c>
      <c r="M171" s="140">
        <v>83737.289999999994</v>
      </c>
      <c r="N171" s="140">
        <v>11296.85</v>
      </c>
      <c r="O171" s="140">
        <v>72440.44</v>
      </c>
      <c r="P171" s="140">
        <v>0</v>
      </c>
    </row>
    <row r="172" spans="1:16">
      <c r="A172" s="139" t="s">
        <v>522</v>
      </c>
      <c r="B172" s="139" t="s">
        <v>216</v>
      </c>
      <c r="C172" s="139" t="s">
        <v>156</v>
      </c>
      <c r="D172" s="139" t="s">
        <v>162</v>
      </c>
      <c r="E172" s="139" t="s">
        <v>100</v>
      </c>
      <c r="F172" s="115">
        <v>0</v>
      </c>
      <c r="G172" s="116"/>
      <c r="H172" s="32">
        <f t="shared" si="2"/>
        <v>0</v>
      </c>
      <c r="K172" s="139" t="s">
        <v>518</v>
      </c>
      <c r="L172" s="139" t="s">
        <v>519</v>
      </c>
      <c r="M172" s="140">
        <v>135504.66</v>
      </c>
      <c r="N172" s="140">
        <v>17329.87</v>
      </c>
      <c r="O172" s="140">
        <v>118174.79</v>
      </c>
      <c r="P172" s="140">
        <v>0</v>
      </c>
    </row>
    <row r="173" spans="1:16">
      <c r="A173" s="139" t="s">
        <v>523</v>
      </c>
      <c r="B173" s="139" t="s">
        <v>524</v>
      </c>
      <c r="C173" s="139" t="s">
        <v>156</v>
      </c>
      <c r="D173" s="139" t="s">
        <v>162</v>
      </c>
      <c r="E173" s="139" t="s">
        <v>100</v>
      </c>
      <c r="F173" s="115">
        <v>-15141.46</v>
      </c>
      <c r="G173" s="116"/>
      <c r="H173" s="32">
        <f t="shared" si="2"/>
        <v>-15141.46</v>
      </c>
      <c r="K173" s="139" t="s">
        <v>520</v>
      </c>
      <c r="L173" s="139" t="s">
        <v>521</v>
      </c>
      <c r="M173" s="140">
        <v>3788.09</v>
      </c>
      <c r="N173" s="140">
        <v>1226.29</v>
      </c>
      <c r="O173" s="140">
        <v>2561.8000000000002</v>
      </c>
      <c r="P173" s="140">
        <v>0</v>
      </c>
    </row>
    <row r="174" spans="1:16">
      <c r="A174" s="139" t="s">
        <v>525</v>
      </c>
      <c r="B174" s="139" t="s">
        <v>526</v>
      </c>
      <c r="C174" s="139" t="s">
        <v>156</v>
      </c>
      <c r="D174" s="139" t="s">
        <v>162</v>
      </c>
      <c r="E174" s="139" t="s">
        <v>100</v>
      </c>
      <c r="F174" s="115">
        <v>-423710.31</v>
      </c>
      <c r="G174" s="116"/>
      <c r="H174" s="32">
        <f t="shared" si="2"/>
        <v>-423710.31</v>
      </c>
      <c r="K174" s="139" t="s">
        <v>522</v>
      </c>
      <c r="L174" s="139" t="s">
        <v>216</v>
      </c>
      <c r="M174" s="140">
        <v>0</v>
      </c>
      <c r="N174" s="140">
        <v>0</v>
      </c>
      <c r="O174" s="140">
        <v>0</v>
      </c>
      <c r="P174" s="140">
        <v>0</v>
      </c>
    </row>
    <row r="175" spans="1:16">
      <c r="A175" s="139" t="s">
        <v>527</v>
      </c>
      <c r="B175" s="139" t="s">
        <v>341</v>
      </c>
      <c r="C175" s="139" t="s">
        <v>156</v>
      </c>
      <c r="D175" s="139" t="s">
        <v>169</v>
      </c>
      <c r="E175" s="139" t="s">
        <v>528</v>
      </c>
      <c r="F175" s="115">
        <v>3048824.33</v>
      </c>
      <c r="G175" s="116"/>
      <c r="H175" s="32"/>
      <c r="I175" s="1">
        <f>+F175</f>
        <v>3048824.33</v>
      </c>
      <c r="K175" s="139" t="s">
        <v>523</v>
      </c>
      <c r="L175" s="139" t="s">
        <v>524</v>
      </c>
      <c r="M175" s="140">
        <v>-15141.46</v>
      </c>
      <c r="N175" s="140">
        <v>-2799.96</v>
      </c>
      <c r="O175" s="140">
        <v>-12341.5</v>
      </c>
      <c r="P175" s="140">
        <v>0</v>
      </c>
    </row>
    <row r="176" spans="1:16">
      <c r="A176" s="139" t="s">
        <v>529</v>
      </c>
      <c r="B176" s="139" t="s">
        <v>530</v>
      </c>
      <c r="C176" s="139" t="s">
        <v>156</v>
      </c>
      <c r="D176" s="139" t="s">
        <v>157</v>
      </c>
      <c r="E176" s="139" t="s">
        <v>100</v>
      </c>
      <c r="F176" s="115">
        <v>0</v>
      </c>
      <c r="G176" s="116"/>
      <c r="H176" s="32">
        <f t="shared" si="2"/>
        <v>0</v>
      </c>
      <c r="K176" s="139" t="s">
        <v>525</v>
      </c>
      <c r="L176" s="139" t="s">
        <v>526</v>
      </c>
      <c r="M176" s="140">
        <v>-423710.81</v>
      </c>
      <c r="N176" s="140">
        <v>81246.95</v>
      </c>
      <c r="O176" s="140">
        <v>-504957.76</v>
      </c>
      <c r="P176" s="140">
        <v>0</v>
      </c>
    </row>
    <row r="177" spans="1:16">
      <c r="A177" s="139" t="s">
        <v>531</v>
      </c>
      <c r="B177" s="139" t="s">
        <v>532</v>
      </c>
      <c r="C177" s="139" t="s">
        <v>156</v>
      </c>
      <c r="D177" s="139" t="s">
        <v>162</v>
      </c>
      <c r="E177" s="139" t="s">
        <v>100</v>
      </c>
      <c r="F177" s="115">
        <v>10601.89</v>
      </c>
      <c r="G177" s="116"/>
      <c r="H177" s="32">
        <f t="shared" si="2"/>
        <v>10601.89</v>
      </c>
      <c r="K177" s="139" t="s">
        <v>527</v>
      </c>
      <c r="L177" s="139" t="s">
        <v>341</v>
      </c>
      <c r="M177" s="123"/>
      <c r="N177" s="123"/>
      <c r="O177" s="123"/>
      <c r="P177" s="123"/>
    </row>
    <row r="178" spans="1:16">
      <c r="A178" s="139" t="s">
        <v>533</v>
      </c>
      <c r="B178" s="139" t="s">
        <v>2164</v>
      </c>
      <c r="C178" s="139" t="s">
        <v>156</v>
      </c>
      <c r="D178" s="139" t="s">
        <v>162</v>
      </c>
      <c r="E178" s="139" t="s">
        <v>100</v>
      </c>
      <c r="F178" s="115">
        <v>11504.86</v>
      </c>
      <c r="G178" s="116"/>
      <c r="H178" s="32">
        <f t="shared" si="2"/>
        <v>11504.86</v>
      </c>
      <c r="K178" s="139" t="s">
        <v>529</v>
      </c>
      <c r="L178" s="139" t="s">
        <v>530</v>
      </c>
      <c r="M178" s="123"/>
      <c r="N178" s="123"/>
      <c r="O178" s="123"/>
      <c r="P178" s="123"/>
    </row>
    <row r="179" spans="1:16">
      <c r="A179" s="139" t="s">
        <v>535</v>
      </c>
      <c r="B179" s="139" t="s">
        <v>536</v>
      </c>
      <c r="C179" s="139" t="s">
        <v>156</v>
      </c>
      <c r="D179" s="139" t="s">
        <v>162</v>
      </c>
      <c r="E179" s="139" t="s">
        <v>100</v>
      </c>
      <c r="F179" s="115">
        <v>11833.66</v>
      </c>
      <c r="G179" s="116"/>
      <c r="H179" s="32">
        <f t="shared" si="2"/>
        <v>11833.66</v>
      </c>
      <c r="K179" s="139" t="s">
        <v>531</v>
      </c>
      <c r="L179" s="139" t="s">
        <v>532</v>
      </c>
      <c r="M179" s="140">
        <v>10601.89</v>
      </c>
      <c r="N179" s="140">
        <v>1080.5</v>
      </c>
      <c r="O179" s="140">
        <v>9521.39</v>
      </c>
      <c r="P179" s="140">
        <v>0</v>
      </c>
    </row>
    <row r="180" spans="1:16">
      <c r="A180" s="139" t="s">
        <v>537</v>
      </c>
      <c r="B180" s="139" t="s">
        <v>538</v>
      </c>
      <c r="C180" s="139" t="s">
        <v>156</v>
      </c>
      <c r="D180" s="139" t="s">
        <v>162</v>
      </c>
      <c r="E180" s="139" t="s">
        <v>100</v>
      </c>
      <c r="F180" s="115">
        <v>0</v>
      </c>
      <c r="G180" s="116"/>
      <c r="H180" s="32">
        <f t="shared" si="2"/>
        <v>0</v>
      </c>
      <c r="K180" s="139" t="s">
        <v>533</v>
      </c>
      <c r="L180" s="139" t="s">
        <v>2164</v>
      </c>
      <c r="M180" s="140">
        <v>11504.86</v>
      </c>
      <c r="N180" s="140">
        <v>1268.0999999999999</v>
      </c>
      <c r="O180" s="140">
        <v>10236.76</v>
      </c>
      <c r="P180" s="140">
        <v>0</v>
      </c>
    </row>
    <row r="181" spans="1:16">
      <c r="A181" s="139" t="s">
        <v>539</v>
      </c>
      <c r="B181" s="139" t="s">
        <v>540</v>
      </c>
      <c r="C181" s="139" t="s">
        <v>156</v>
      </c>
      <c r="D181" s="139" t="s">
        <v>162</v>
      </c>
      <c r="E181" s="139" t="s">
        <v>100</v>
      </c>
      <c r="F181" s="115">
        <v>266449.24</v>
      </c>
      <c r="G181" s="116"/>
      <c r="H181" s="32">
        <f t="shared" si="2"/>
        <v>266449.24</v>
      </c>
      <c r="K181" s="139" t="s">
        <v>535</v>
      </c>
      <c r="L181" s="139" t="s">
        <v>536</v>
      </c>
      <c r="M181" s="140">
        <v>11833.66</v>
      </c>
      <c r="N181" s="140">
        <v>0</v>
      </c>
      <c r="O181" s="140">
        <v>11833.66</v>
      </c>
      <c r="P181" s="140">
        <v>0</v>
      </c>
    </row>
    <row r="182" spans="1:16">
      <c r="A182" s="139" t="s">
        <v>541</v>
      </c>
      <c r="B182" s="139" t="s">
        <v>542</v>
      </c>
      <c r="C182" s="139" t="s">
        <v>156</v>
      </c>
      <c r="D182" s="139" t="s">
        <v>162</v>
      </c>
      <c r="E182" s="139" t="s">
        <v>100</v>
      </c>
      <c r="F182" s="115">
        <v>12258.07</v>
      </c>
      <c r="G182" s="116"/>
      <c r="H182" s="32">
        <f t="shared" si="2"/>
        <v>12258.07</v>
      </c>
      <c r="K182" s="139" t="s">
        <v>537</v>
      </c>
      <c r="L182" s="139" t="s">
        <v>538</v>
      </c>
      <c r="M182" s="140">
        <v>0</v>
      </c>
      <c r="N182" s="140">
        <v>0</v>
      </c>
      <c r="O182" s="123">
        <v>0</v>
      </c>
      <c r="P182" s="140">
        <v>0</v>
      </c>
    </row>
    <row r="183" spans="1:16">
      <c r="A183" s="139" t="s">
        <v>543</v>
      </c>
      <c r="B183" s="139" t="s">
        <v>220</v>
      </c>
      <c r="C183" s="139" t="s">
        <v>156</v>
      </c>
      <c r="D183" s="139" t="s">
        <v>162</v>
      </c>
      <c r="E183" s="139" t="s">
        <v>100</v>
      </c>
      <c r="F183" s="115">
        <v>17491.43</v>
      </c>
      <c r="G183" s="116"/>
      <c r="H183" s="32">
        <f t="shared" si="2"/>
        <v>17491.43</v>
      </c>
      <c r="K183" s="139" t="s">
        <v>539</v>
      </c>
      <c r="L183" s="139" t="s">
        <v>540</v>
      </c>
      <c r="M183" s="140">
        <v>266449.24</v>
      </c>
      <c r="N183" s="123">
        <v>95785.75</v>
      </c>
      <c r="O183" s="140">
        <v>170663.49</v>
      </c>
      <c r="P183" s="140">
        <v>0</v>
      </c>
    </row>
    <row r="184" spans="1:16">
      <c r="A184" s="139" t="s">
        <v>547</v>
      </c>
      <c r="B184" s="139" t="s">
        <v>548</v>
      </c>
      <c r="C184" s="139" t="s">
        <v>156</v>
      </c>
      <c r="D184" s="139" t="s">
        <v>169</v>
      </c>
      <c r="E184" s="139" t="s">
        <v>549</v>
      </c>
      <c r="F184" s="115">
        <v>330139.15000000002</v>
      </c>
      <c r="G184" s="116"/>
      <c r="H184" s="32"/>
      <c r="K184" s="139" t="s">
        <v>541</v>
      </c>
      <c r="L184" s="139" t="s">
        <v>542</v>
      </c>
      <c r="M184" s="140">
        <v>12258.07</v>
      </c>
      <c r="N184" s="123">
        <v>411.77</v>
      </c>
      <c r="O184" s="140">
        <v>11846.3</v>
      </c>
      <c r="P184" s="140">
        <v>0</v>
      </c>
    </row>
    <row r="185" spans="1:16">
      <c r="A185" s="139" t="s">
        <v>550</v>
      </c>
      <c r="B185" s="139" t="s">
        <v>551</v>
      </c>
      <c r="C185" s="139" t="s">
        <v>156</v>
      </c>
      <c r="D185" s="139" t="s">
        <v>157</v>
      </c>
      <c r="E185" s="139" t="s">
        <v>100</v>
      </c>
      <c r="F185" s="115">
        <v>0</v>
      </c>
      <c r="G185" s="116"/>
      <c r="H185" s="32">
        <f t="shared" si="2"/>
        <v>0</v>
      </c>
      <c r="K185" s="139" t="s">
        <v>543</v>
      </c>
      <c r="L185" s="139" t="s">
        <v>220</v>
      </c>
      <c r="M185" s="140">
        <v>17491.43</v>
      </c>
      <c r="N185" s="140">
        <v>1322.19</v>
      </c>
      <c r="O185" s="140">
        <v>16169.24</v>
      </c>
      <c r="P185" s="140">
        <v>0</v>
      </c>
    </row>
    <row r="186" spans="1:16">
      <c r="A186" s="139" t="s">
        <v>552</v>
      </c>
      <c r="B186" s="139" t="s">
        <v>553</v>
      </c>
      <c r="C186" s="139" t="s">
        <v>156</v>
      </c>
      <c r="D186" s="139" t="s">
        <v>162</v>
      </c>
      <c r="E186" s="139" t="s">
        <v>100</v>
      </c>
      <c r="F186" s="115">
        <v>0</v>
      </c>
      <c r="G186" s="116"/>
      <c r="H186" s="32">
        <f t="shared" si="2"/>
        <v>0</v>
      </c>
      <c r="K186" s="139" t="s">
        <v>547</v>
      </c>
      <c r="L186" s="139" t="s">
        <v>548</v>
      </c>
      <c r="M186" s="123"/>
      <c r="N186" s="123"/>
      <c r="O186" s="123"/>
      <c r="P186" s="123"/>
    </row>
    <row r="187" spans="1:16">
      <c r="A187" s="139" t="s">
        <v>554</v>
      </c>
      <c r="B187" s="139" t="s">
        <v>555</v>
      </c>
      <c r="C187" s="139" t="s">
        <v>156</v>
      </c>
      <c r="D187" s="139" t="s">
        <v>162</v>
      </c>
      <c r="E187" s="139" t="s">
        <v>100</v>
      </c>
      <c r="F187" s="115">
        <v>98588.18</v>
      </c>
      <c r="G187" s="116"/>
      <c r="H187" s="32">
        <f t="shared" si="2"/>
        <v>98588.18</v>
      </c>
      <c r="K187" s="139" t="s">
        <v>550</v>
      </c>
      <c r="L187" s="139" t="s">
        <v>551</v>
      </c>
      <c r="M187" s="123"/>
      <c r="N187" s="123"/>
      <c r="O187" s="123"/>
      <c r="P187" s="123"/>
    </row>
    <row r="188" spans="1:16">
      <c r="A188" s="139" t="s">
        <v>556</v>
      </c>
      <c r="B188" s="139" t="s">
        <v>557</v>
      </c>
      <c r="C188" s="139" t="s">
        <v>156</v>
      </c>
      <c r="D188" s="139" t="s">
        <v>162</v>
      </c>
      <c r="E188" s="139" t="s">
        <v>100</v>
      </c>
      <c r="F188" s="115">
        <v>960687.99</v>
      </c>
      <c r="G188" s="116"/>
      <c r="H188" s="32">
        <f t="shared" si="2"/>
        <v>960687.99</v>
      </c>
      <c r="K188" s="139" t="s">
        <v>552</v>
      </c>
      <c r="L188" s="139" t="s">
        <v>553</v>
      </c>
      <c r="M188" s="140">
        <v>0</v>
      </c>
      <c r="N188" s="140">
        <v>0</v>
      </c>
      <c r="O188" s="140">
        <v>0</v>
      </c>
      <c r="P188" s="140">
        <v>0</v>
      </c>
    </row>
    <row r="189" spans="1:16">
      <c r="A189" s="139" t="s">
        <v>558</v>
      </c>
      <c r="B189" s="139" t="s">
        <v>559</v>
      </c>
      <c r="C189" s="139" t="s">
        <v>156</v>
      </c>
      <c r="D189" s="139" t="s">
        <v>162</v>
      </c>
      <c r="E189" s="139" t="s">
        <v>100</v>
      </c>
      <c r="F189" s="115">
        <v>102066.25</v>
      </c>
      <c r="G189" s="116"/>
      <c r="H189" s="32">
        <f t="shared" si="2"/>
        <v>102066.25</v>
      </c>
      <c r="K189" s="139" t="s">
        <v>554</v>
      </c>
      <c r="L189" s="139" t="s">
        <v>555</v>
      </c>
      <c r="M189" s="140">
        <v>98588.18</v>
      </c>
      <c r="N189" s="140">
        <v>74354.62</v>
      </c>
      <c r="O189" s="140">
        <v>24233.56</v>
      </c>
      <c r="P189" s="140">
        <v>0</v>
      </c>
    </row>
    <row r="190" spans="1:16">
      <c r="A190" s="139" t="s">
        <v>560</v>
      </c>
      <c r="B190" s="139" t="s">
        <v>561</v>
      </c>
      <c r="C190" s="139" t="s">
        <v>156</v>
      </c>
      <c r="D190" s="139" t="s">
        <v>162</v>
      </c>
      <c r="E190" s="139" t="s">
        <v>100</v>
      </c>
      <c r="F190" s="115">
        <v>138407.44</v>
      </c>
      <c r="G190" s="116"/>
      <c r="H190" s="32">
        <f t="shared" si="2"/>
        <v>138407.44</v>
      </c>
      <c r="K190" s="139" t="s">
        <v>556</v>
      </c>
      <c r="L190" s="139" t="s">
        <v>557</v>
      </c>
      <c r="M190" s="140">
        <v>960687.99</v>
      </c>
      <c r="N190" s="123">
        <v>393564.89</v>
      </c>
      <c r="O190" s="140">
        <v>567123.1</v>
      </c>
      <c r="P190" s="140">
        <v>0</v>
      </c>
    </row>
    <row r="191" spans="1:16">
      <c r="A191" s="139" t="s">
        <v>562</v>
      </c>
      <c r="B191" s="139" t="s">
        <v>563</v>
      </c>
      <c r="C191" s="139" t="s">
        <v>156</v>
      </c>
      <c r="D191" s="139" t="s">
        <v>162</v>
      </c>
      <c r="E191" s="139" t="s">
        <v>100</v>
      </c>
      <c r="F191" s="115">
        <v>137746.76</v>
      </c>
      <c r="G191" s="116"/>
      <c r="H191" s="32">
        <f t="shared" si="2"/>
        <v>137746.76</v>
      </c>
      <c r="K191" s="139" t="s">
        <v>558</v>
      </c>
      <c r="L191" s="139" t="s">
        <v>559</v>
      </c>
      <c r="M191" s="140">
        <v>102066.25</v>
      </c>
      <c r="N191" s="123">
        <v>32821.160000000003</v>
      </c>
      <c r="O191" s="140">
        <v>69245.09</v>
      </c>
      <c r="P191" s="140">
        <v>0</v>
      </c>
    </row>
    <row r="192" spans="1:16">
      <c r="A192" s="139" t="s">
        <v>564</v>
      </c>
      <c r="B192" s="139" t="s">
        <v>565</v>
      </c>
      <c r="C192" s="139" t="s">
        <v>156</v>
      </c>
      <c r="D192" s="139" t="s">
        <v>162</v>
      </c>
      <c r="E192" s="139" t="s">
        <v>100</v>
      </c>
      <c r="F192" s="115">
        <v>0</v>
      </c>
      <c r="G192" s="116"/>
      <c r="H192" s="32">
        <f t="shared" si="2"/>
        <v>0</v>
      </c>
      <c r="K192" s="139" t="s">
        <v>560</v>
      </c>
      <c r="L192" s="139" t="s">
        <v>561</v>
      </c>
      <c r="M192" s="140">
        <v>138407.44</v>
      </c>
      <c r="N192" s="123">
        <v>94486.8</v>
      </c>
      <c r="O192" s="140">
        <v>43920.639999999999</v>
      </c>
      <c r="P192" s="140">
        <v>0</v>
      </c>
    </row>
    <row r="193" spans="1:16">
      <c r="A193" s="139" t="s">
        <v>566</v>
      </c>
      <c r="B193" s="139" t="s">
        <v>567</v>
      </c>
      <c r="C193" s="139" t="s">
        <v>156</v>
      </c>
      <c r="D193" s="139" t="s">
        <v>169</v>
      </c>
      <c r="E193" s="139" t="s">
        <v>568</v>
      </c>
      <c r="F193" s="115">
        <v>1437496.62</v>
      </c>
      <c r="G193" s="116"/>
      <c r="H193" s="32"/>
      <c r="K193" s="139" t="s">
        <v>562</v>
      </c>
      <c r="L193" s="139" t="s">
        <v>563</v>
      </c>
      <c r="M193" s="140">
        <v>137746.76</v>
      </c>
      <c r="N193" s="140">
        <v>0</v>
      </c>
      <c r="O193" s="140">
        <v>137746.76</v>
      </c>
      <c r="P193" s="140">
        <v>0</v>
      </c>
    </row>
    <row r="194" spans="1:16">
      <c r="A194" s="139" t="s">
        <v>569</v>
      </c>
      <c r="B194" s="139" t="s">
        <v>570</v>
      </c>
      <c r="C194" s="139" t="s">
        <v>156</v>
      </c>
      <c r="D194" s="139" t="s">
        <v>157</v>
      </c>
      <c r="E194" s="139" t="s">
        <v>100</v>
      </c>
      <c r="F194" s="115">
        <v>0</v>
      </c>
      <c r="G194" s="116"/>
      <c r="H194" s="32">
        <f t="shared" si="2"/>
        <v>0</v>
      </c>
      <c r="K194" s="139" t="s">
        <v>564</v>
      </c>
      <c r="L194" s="139" t="s">
        <v>565</v>
      </c>
      <c r="M194" s="140">
        <v>0</v>
      </c>
      <c r="N194" s="140">
        <v>0</v>
      </c>
      <c r="O194" s="140">
        <v>0</v>
      </c>
      <c r="P194" s="140">
        <v>0</v>
      </c>
    </row>
    <row r="195" spans="1:16">
      <c r="A195" s="139" t="s">
        <v>571</v>
      </c>
      <c r="B195" s="139" t="s">
        <v>572</v>
      </c>
      <c r="C195" s="139" t="s">
        <v>156</v>
      </c>
      <c r="D195" s="139" t="s">
        <v>162</v>
      </c>
      <c r="E195" s="139" t="s">
        <v>100</v>
      </c>
      <c r="F195" s="115">
        <v>5993.3</v>
      </c>
      <c r="G195" s="116"/>
      <c r="H195" s="32">
        <f t="shared" si="2"/>
        <v>5993.3</v>
      </c>
      <c r="K195" s="139" t="s">
        <v>566</v>
      </c>
      <c r="L195" s="139" t="s">
        <v>567</v>
      </c>
      <c r="M195" s="123"/>
      <c r="N195" s="123"/>
      <c r="O195" s="123"/>
      <c r="P195" s="123"/>
    </row>
    <row r="196" spans="1:16">
      <c r="A196" s="139" t="s">
        <v>573</v>
      </c>
      <c r="B196" s="139" t="s">
        <v>574</v>
      </c>
      <c r="C196" s="139" t="s">
        <v>156</v>
      </c>
      <c r="D196" s="139" t="s">
        <v>162</v>
      </c>
      <c r="E196" s="139" t="s">
        <v>100</v>
      </c>
      <c r="F196" s="115">
        <v>12000</v>
      </c>
      <c r="G196" s="116"/>
      <c r="H196" s="32">
        <f t="shared" si="2"/>
        <v>12000</v>
      </c>
      <c r="K196" s="139" t="s">
        <v>569</v>
      </c>
      <c r="L196" s="139" t="s">
        <v>570</v>
      </c>
      <c r="M196" s="123"/>
      <c r="N196" s="123"/>
      <c r="O196" s="123"/>
      <c r="P196" s="123"/>
    </row>
    <row r="197" spans="1:16">
      <c r="A197" s="139" t="s">
        <v>575</v>
      </c>
      <c r="B197" s="139" t="s">
        <v>576</v>
      </c>
      <c r="C197" s="139" t="s">
        <v>156</v>
      </c>
      <c r="D197" s="139" t="s">
        <v>169</v>
      </c>
      <c r="E197" s="139" t="s">
        <v>577</v>
      </c>
      <c r="F197" s="115">
        <v>17993.3</v>
      </c>
      <c r="G197" s="116"/>
      <c r="H197" s="32"/>
      <c r="K197" s="139" t="s">
        <v>571</v>
      </c>
      <c r="L197" s="139" t="s">
        <v>572</v>
      </c>
      <c r="M197" s="140">
        <v>5993.3</v>
      </c>
      <c r="N197" s="140">
        <v>0</v>
      </c>
      <c r="O197" s="140">
        <v>5993.3</v>
      </c>
      <c r="P197" s="140">
        <v>0</v>
      </c>
    </row>
    <row r="198" spans="1:16">
      <c r="A198" s="139" t="s">
        <v>578</v>
      </c>
      <c r="B198" s="139" t="s">
        <v>579</v>
      </c>
      <c r="C198" s="139" t="s">
        <v>156</v>
      </c>
      <c r="D198" s="139" t="s">
        <v>157</v>
      </c>
      <c r="E198" s="139" t="s">
        <v>100</v>
      </c>
      <c r="F198" s="115">
        <v>0</v>
      </c>
      <c r="G198" s="116"/>
      <c r="H198" s="32">
        <f t="shared" ref="H198:H261" si="3">SUM(F198:G198)</f>
        <v>0</v>
      </c>
      <c r="K198" s="139" t="s">
        <v>573</v>
      </c>
      <c r="L198" s="139" t="s">
        <v>574</v>
      </c>
      <c r="M198" s="140">
        <v>12000</v>
      </c>
      <c r="N198" s="123">
        <v>12000</v>
      </c>
      <c r="O198" s="140">
        <v>0</v>
      </c>
      <c r="P198" s="140">
        <v>0</v>
      </c>
    </row>
    <row r="199" spans="1:16">
      <c r="A199" s="139" t="s">
        <v>580</v>
      </c>
      <c r="B199" s="139" t="s">
        <v>581</v>
      </c>
      <c r="C199" s="139" t="s">
        <v>156</v>
      </c>
      <c r="D199" s="139" t="s">
        <v>162</v>
      </c>
      <c r="E199" s="139" t="s">
        <v>100</v>
      </c>
      <c r="F199" s="115">
        <v>63619.94</v>
      </c>
      <c r="G199" s="116"/>
      <c r="H199" s="32">
        <f t="shared" si="3"/>
        <v>63619.94</v>
      </c>
      <c r="K199" s="139" t="s">
        <v>575</v>
      </c>
      <c r="L199" s="139" t="s">
        <v>576</v>
      </c>
      <c r="M199" s="123"/>
      <c r="N199" s="123"/>
      <c r="O199" s="123"/>
      <c r="P199" s="123"/>
    </row>
    <row r="200" spans="1:16">
      <c r="A200" s="139" t="s">
        <v>582</v>
      </c>
      <c r="B200" s="139" t="s">
        <v>583</v>
      </c>
      <c r="C200" s="139" t="s">
        <v>156</v>
      </c>
      <c r="D200" s="139" t="s">
        <v>162</v>
      </c>
      <c r="E200" s="139" t="s">
        <v>100</v>
      </c>
      <c r="F200" s="115">
        <v>210012.15</v>
      </c>
      <c r="G200" s="116"/>
      <c r="H200" s="32">
        <f t="shared" si="3"/>
        <v>210012.15</v>
      </c>
      <c r="I200" s="3">
        <f>+H200+H201</f>
        <v>111165.51</v>
      </c>
      <c r="K200" s="139" t="s">
        <v>578</v>
      </c>
      <c r="L200" s="139" t="s">
        <v>579</v>
      </c>
      <c r="M200" s="123"/>
      <c r="N200" s="123"/>
      <c r="O200" s="123"/>
      <c r="P200" s="123"/>
    </row>
    <row r="201" spans="1:16">
      <c r="A201" s="139" t="s">
        <v>584</v>
      </c>
      <c r="B201" s="139" t="s">
        <v>585</v>
      </c>
      <c r="C201" s="139" t="s">
        <v>156</v>
      </c>
      <c r="D201" s="139" t="s">
        <v>162</v>
      </c>
      <c r="E201" s="139" t="s">
        <v>100</v>
      </c>
      <c r="F201" s="115">
        <v>-98846.64</v>
      </c>
      <c r="G201" s="116"/>
      <c r="H201" s="32">
        <f t="shared" si="3"/>
        <v>-98846.64</v>
      </c>
      <c r="K201" s="139" t="s">
        <v>580</v>
      </c>
      <c r="L201" s="139" t="s">
        <v>581</v>
      </c>
      <c r="M201" s="140">
        <v>63619.94</v>
      </c>
      <c r="N201" s="140">
        <v>63619.94</v>
      </c>
      <c r="O201" s="140">
        <v>0</v>
      </c>
      <c r="P201" s="140">
        <v>0</v>
      </c>
    </row>
    <row r="202" spans="1:16">
      <c r="A202" s="139" t="s">
        <v>586</v>
      </c>
      <c r="B202" s="139" t="s">
        <v>587</v>
      </c>
      <c r="C202" s="139" t="s">
        <v>156</v>
      </c>
      <c r="D202" s="139" t="s">
        <v>162</v>
      </c>
      <c r="E202" s="139" t="s">
        <v>100</v>
      </c>
      <c r="F202" s="115">
        <v>166762.68</v>
      </c>
      <c r="G202" s="116"/>
      <c r="H202" s="32">
        <f t="shared" si="3"/>
        <v>166762.68</v>
      </c>
      <c r="K202" s="139" t="s">
        <v>582</v>
      </c>
      <c r="L202" s="139" t="s">
        <v>583</v>
      </c>
      <c r="M202" s="140">
        <v>210012.15</v>
      </c>
      <c r="N202" s="140">
        <v>210012.15</v>
      </c>
      <c r="O202" s="140">
        <v>0</v>
      </c>
      <c r="P202" s="140">
        <v>0</v>
      </c>
    </row>
    <row r="203" spans="1:16">
      <c r="A203" s="139" t="s">
        <v>588</v>
      </c>
      <c r="B203" s="139" t="s">
        <v>589</v>
      </c>
      <c r="C203" s="139" t="s">
        <v>156</v>
      </c>
      <c r="D203" s="139" t="s">
        <v>162</v>
      </c>
      <c r="E203" s="139" t="s">
        <v>100</v>
      </c>
      <c r="F203" s="115">
        <v>49380.25</v>
      </c>
      <c r="G203" s="116"/>
      <c r="H203" s="32">
        <f t="shared" si="3"/>
        <v>49380.25</v>
      </c>
      <c r="K203" s="139" t="s">
        <v>584</v>
      </c>
      <c r="L203" s="139" t="s">
        <v>585</v>
      </c>
      <c r="M203" s="140">
        <v>-98846.64</v>
      </c>
      <c r="N203" s="140">
        <v>-98846.64</v>
      </c>
      <c r="O203" s="140">
        <v>0</v>
      </c>
      <c r="P203" s="140">
        <v>0</v>
      </c>
    </row>
    <row r="204" spans="1:16">
      <c r="A204" s="139" t="s">
        <v>590</v>
      </c>
      <c r="B204" s="139" t="s">
        <v>591</v>
      </c>
      <c r="C204" s="139" t="s">
        <v>156</v>
      </c>
      <c r="D204" s="139" t="s">
        <v>162</v>
      </c>
      <c r="E204" s="139" t="s">
        <v>100</v>
      </c>
      <c r="F204" s="115">
        <v>20597.37</v>
      </c>
      <c r="G204" s="116"/>
      <c r="H204" s="32">
        <f t="shared" si="3"/>
        <v>20597.37</v>
      </c>
      <c r="K204" s="139" t="s">
        <v>586</v>
      </c>
      <c r="L204" s="139" t="s">
        <v>587</v>
      </c>
      <c r="M204" s="140">
        <v>166762.68</v>
      </c>
      <c r="N204" s="140">
        <v>0</v>
      </c>
      <c r="O204" s="140">
        <v>166762.68</v>
      </c>
      <c r="P204" s="140">
        <v>0</v>
      </c>
    </row>
    <row r="205" spans="1:16">
      <c r="A205" s="139" t="s">
        <v>592</v>
      </c>
      <c r="B205" s="139" t="s">
        <v>593</v>
      </c>
      <c r="C205" s="139" t="s">
        <v>156</v>
      </c>
      <c r="D205" s="139" t="s">
        <v>162</v>
      </c>
      <c r="E205" s="139" t="s">
        <v>100</v>
      </c>
      <c r="F205" s="115">
        <v>6433.27</v>
      </c>
      <c r="G205" s="116"/>
      <c r="H205" s="32">
        <f t="shared" si="3"/>
        <v>6433.27</v>
      </c>
      <c r="K205" s="139" t="s">
        <v>588</v>
      </c>
      <c r="L205" s="139" t="s">
        <v>589</v>
      </c>
      <c r="M205" s="140">
        <v>49380.25</v>
      </c>
      <c r="N205" s="140">
        <v>0</v>
      </c>
      <c r="O205" s="140">
        <v>49380.25</v>
      </c>
      <c r="P205" s="140">
        <v>0</v>
      </c>
    </row>
    <row r="206" spans="1:16">
      <c r="A206" s="139" t="s">
        <v>594</v>
      </c>
      <c r="B206" s="139" t="s">
        <v>595</v>
      </c>
      <c r="C206" s="139" t="s">
        <v>156</v>
      </c>
      <c r="D206" s="139" t="s">
        <v>169</v>
      </c>
      <c r="E206" s="139" t="s">
        <v>596</v>
      </c>
      <c r="F206" s="115">
        <v>417959.02</v>
      </c>
      <c r="G206" s="116"/>
      <c r="H206" s="32"/>
      <c r="K206" s="139" t="s">
        <v>590</v>
      </c>
      <c r="L206" s="139" t="s">
        <v>591</v>
      </c>
      <c r="M206" s="140">
        <v>20597.37</v>
      </c>
      <c r="N206" s="140">
        <v>20597.37</v>
      </c>
      <c r="O206" s="140">
        <v>0</v>
      </c>
      <c r="P206" s="140">
        <v>0</v>
      </c>
    </row>
    <row r="207" spans="1:16">
      <c r="A207" s="139" t="s">
        <v>597</v>
      </c>
      <c r="B207" s="139" t="s">
        <v>595</v>
      </c>
      <c r="C207" s="139" t="s">
        <v>156</v>
      </c>
      <c r="D207" s="139" t="s">
        <v>598</v>
      </c>
      <c r="E207" s="139" t="s">
        <v>100</v>
      </c>
      <c r="F207" s="115">
        <v>0</v>
      </c>
      <c r="G207" s="116"/>
      <c r="H207" s="32">
        <f t="shared" si="3"/>
        <v>0</v>
      </c>
      <c r="K207" s="139" t="s">
        <v>592</v>
      </c>
      <c r="L207" s="139" t="s">
        <v>593</v>
      </c>
      <c r="M207" s="140">
        <v>6433.27</v>
      </c>
      <c r="N207" s="140">
        <v>6433.27</v>
      </c>
      <c r="O207" s="140">
        <v>0</v>
      </c>
      <c r="P207" s="140">
        <v>0</v>
      </c>
    </row>
    <row r="208" spans="1:16">
      <c r="A208" s="139" t="s">
        <v>599</v>
      </c>
      <c r="B208" s="139" t="s">
        <v>600</v>
      </c>
      <c r="C208" s="139" t="s">
        <v>156</v>
      </c>
      <c r="D208" s="139" t="s">
        <v>157</v>
      </c>
      <c r="E208" s="139" t="s">
        <v>100</v>
      </c>
      <c r="F208" s="115">
        <v>0</v>
      </c>
      <c r="G208" s="116"/>
      <c r="H208" s="32">
        <f t="shared" si="3"/>
        <v>0</v>
      </c>
      <c r="K208" s="139" t="s">
        <v>594</v>
      </c>
      <c r="L208" s="139" t="s">
        <v>595</v>
      </c>
      <c r="M208" s="123"/>
      <c r="N208" s="123"/>
      <c r="O208" s="123"/>
      <c r="P208" s="123"/>
    </row>
    <row r="209" spans="1:16">
      <c r="A209" s="139" t="s">
        <v>601</v>
      </c>
      <c r="B209" s="139" t="s">
        <v>602</v>
      </c>
      <c r="C209" s="139" t="s">
        <v>156</v>
      </c>
      <c r="D209" s="139" t="s">
        <v>162</v>
      </c>
      <c r="E209" s="139" t="s">
        <v>100</v>
      </c>
      <c r="F209" s="115">
        <v>0</v>
      </c>
      <c r="G209" s="116"/>
      <c r="H209" s="32">
        <f t="shared" si="3"/>
        <v>0</v>
      </c>
      <c r="K209" s="139" t="s">
        <v>597</v>
      </c>
      <c r="L209" s="139" t="s">
        <v>595</v>
      </c>
      <c r="M209" s="123"/>
      <c r="N209" s="123"/>
      <c r="O209" s="123"/>
      <c r="P209" s="123"/>
    </row>
    <row r="210" spans="1:16">
      <c r="A210" s="139" t="s">
        <v>603</v>
      </c>
      <c r="B210" s="139" t="s">
        <v>604</v>
      </c>
      <c r="C210" s="139" t="s">
        <v>156</v>
      </c>
      <c r="D210" s="139" t="s">
        <v>162</v>
      </c>
      <c r="E210" s="139" t="s">
        <v>100</v>
      </c>
      <c r="F210" s="115">
        <v>10314.33</v>
      </c>
      <c r="G210" s="116"/>
      <c r="H210" s="32">
        <f t="shared" si="3"/>
        <v>10314.33</v>
      </c>
      <c r="K210" s="139" t="s">
        <v>599</v>
      </c>
      <c r="L210" s="139" t="s">
        <v>600</v>
      </c>
      <c r="M210" s="140">
        <v>0</v>
      </c>
      <c r="N210" s="140">
        <v>0</v>
      </c>
      <c r="O210" s="140">
        <v>0</v>
      </c>
      <c r="P210" s="140">
        <v>0</v>
      </c>
    </row>
    <row r="211" spans="1:16">
      <c r="A211" s="139" t="s">
        <v>605</v>
      </c>
      <c r="B211" s="139" t="s">
        <v>606</v>
      </c>
      <c r="C211" s="139" t="s">
        <v>156</v>
      </c>
      <c r="D211" s="139" t="s">
        <v>162</v>
      </c>
      <c r="E211" s="139" t="s">
        <v>100</v>
      </c>
      <c r="F211" s="115">
        <v>2820.28</v>
      </c>
      <c r="G211" s="116"/>
      <c r="H211" s="32">
        <f t="shared" si="3"/>
        <v>2820.28</v>
      </c>
      <c r="K211" s="139" t="s">
        <v>601</v>
      </c>
      <c r="L211" s="139" t="s">
        <v>602</v>
      </c>
      <c r="M211" s="140">
        <v>0</v>
      </c>
      <c r="N211" s="140">
        <v>0</v>
      </c>
      <c r="O211" s="140">
        <v>0</v>
      </c>
      <c r="P211" s="140">
        <v>0</v>
      </c>
    </row>
    <row r="212" spans="1:16">
      <c r="A212" s="139" t="s">
        <v>607</v>
      </c>
      <c r="B212" s="139" t="s">
        <v>608</v>
      </c>
      <c r="C212" s="139" t="s">
        <v>156</v>
      </c>
      <c r="D212" s="139" t="s">
        <v>162</v>
      </c>
      <c r="E212" s="139" t="s">
        <v>100</v>
      </c>
      <c r="F212" s="115">
        <v>5331.45</v>
      </c>
      <c r="G212" s="116"/>
      <c r="H212" s="32">
        <f t="shared" si="3"/>
        <v>5331.45</v>
      </c>
      <c r="K212" s="139" t="s">
        <v>603</v>
      </c>
      <c r="L212" s="139" t="s">
        <v>604</v>
      </c>
      <c r="M212" s="140">
        <v>10314.33</v>
      </c>
      <c r="N212" s="140">
        <v>0</v>
      </c>
      <c r="O212" s="140">
        <v>10314.33</v>
      </c>
      <c r="P212" s="140">
        <v>0</v>
      </c>
    </row>
    <row r="213" spans="1:16">
      <c r="A213" s="139" t="s">
        <v>609</v>
      </c>
      <c r="B213" s="139" t="s">
        <v>610</v>
      </c>
      <c r="C213" s="139" t="s">
        <v>156</v>
      </c>
      <c r="D213" s="139" t="s">
        <v>162</v>
      </c>
      <c r="E213" s="139" t="s">
        <v>100</v>
      </c>
      <c r="F213" s="115">
        <v>61.85</v>
      </c>
      <c r="G213" s="116"/>
      <c r="H213" s="32">
        <f t="shared" si="3"/>
        <v>61.85</v>
      </c>
      <c r="K213" s="139" t="s">
        <v>605</v>
      </c>
      <c r="L213" s="139" t="s">
        <v>606</v>
      </c>
      <c r="M213" s="140">
        <v>2820.28</v>
      </c>
      <c r="N213" s="140">
        <v>0</v>
      </c>
      <c r="O213" s="140">
        <v>2820.28</v>
      </c>
      <c r="P213" s="140">
        <v>0</v>
      </c>
    </row>
    <row r="214" spans="1:16">
      <c r="A214" s="139" t="s">
        <v>611</v>
      </c>
      <c r="B214" s="139" t="s">
        <v>612</v>
      </c>
      <c r="C214" s="139" t="s">
        <v>156</v>
      </c>
      <c r="D214" s="139" t="s">
        <v>162</v>
      </c>
      <c r="E214" s="139" t="s">
        <v>100</v>
      </c>
      <c r="F214" s="115">
        <v>0</v>
      </c>
      <c r="G214" s="116"/>
      <c r="H214" s="32">
        <f t="shared" si="3"/>
        <v>0</v>
      </c>
      <c r="K214" s="139" t="s">
        <v>607</v>
      </c>
      <c r="L214" s="139" t="s">
        <v>608</v>
      </c>
      <c r="M214" s="140">
        <v>5331.45</v>
      </c>
      <c r="N214" s="140">
        <v>0</v>
      </c>
      <c r="O214" s="140">
        <v>5331.45</v>
      </c>
      <c r="P214" s="140">
        <v>0</v>
      </c>
    </row>
    <row r="215" spans="1:16">
      <c r="A215" s="139" t="s">
        <v>613</v>
      </c>
      <c r="B215" s="139" t="s">
        <v>614</v>
      </c>
      <c r="C215" s="139" t="s">
        <v>156</v>
      </c>
      <c r="D215" s="139" t="s">
        <v>162</v>
      </c>
      <c r="E215" s="139" t="s">
        <v>100</v>
      </c>
      <c r="F215" s="115">
        <v>0</v>
      </c>
      <c r="G215" s="116"/>
      <c r="H215" s="32">
        <f t="shared" si="3"/>
        <v>0</v>
      </c>
      <c r="K215" s="139" t="s">
        <v>609</v>
      </c>
      <c r="L215" s="139" t="s">
        <v>610</v>
      </c>
      <c r="M215" s="140">
        <v>61.85</v>
      </c>
      <c r="N215" s="140">
        <v>0</v>
      </c>
      <c r="O215" s="140">
        <v>61.85</v>
      </c>
      <c r="P215" s="140">
        <v>0</v>
      </c>
    </row>
    <row r="216" spans="1:16">
      <c r="A216" s="139" t="s">
        <v>615</v>
      </c>
      <c r="B216" s="139" t="s">
        <v>616</v>
      </c>
      <c r="C216" s="139" t="s">
        <v>156</v>
      </c>
      <c r="D216" s="139" t="s">
        <v>162</v>
      </c>
      <c r="E216" s="139" t="s">
        <v>100</v>
      </c>
      <c r="F216" s="115">
        <v>73771.48</v>
      </c>
      <c r="G216" s="116"/>
      <c r="H216" s="32">
        <f t="shared" si="3"/>
        <v>73771.48</v>
      </c>
      <c r="K216" s="139" t="s">
        <v>611</v>
      </c>
      <c r="L216" s="139" t="s">
        <v>612</v>
      </c>
      <c r="M216" s="140">
        <v>0</v>
      </c>
      <c r="N216" s="140">
        <v>0</v>
      </c>
      <c r="O216" s="140">
        <v>0</v>
      </c>
      <c r="P216" s="140">
        <v>0</v>
      </c>
    </row>
    <row r="217" spans="1:16">
      <c r="A217" s="139" t="s">
        <v>617</v>
      </c>
      <c r="B217" s="139" t="s">
        <v>618</v>
      </c>
      <c r="C217" s="139" t="s">
        <v>156</v>
      </c>
      <c r="D217" s="139" t="s">
        <v>169</v>
      </c>
      <c r="E217" s="139" t="s">
        <v>619</v>
      </c>
      <c r="F217" s="115">
        <v>92299.39</v>
      </c>
      <c r="G217" s="116"/>
      <c r="H217" s="32"/>
      <c r="K217" s="139" t="s">
        <v>613</v>
      </c>
      <c r="L217" s="139" t="s">
        <v>614</v>
      </c>
      <c r="M217" s="140">
        <v>0</v>
      </c>
      <c r="N217" s="140">
        <v>0</v>
      </c>
      <c r="O217" s="140">
        <v>0</v>
      </c>
      <c r="P217" s="140">
        <v>0</v>
      </c>
    </row>
    <row r="218" spans="1:16">
      <c r="A218" s="139" t="s">
        <v>620</v>
      </c>
      <c r="B218" s="139" t="s">
        <v>621</v>
      </c>
      <c r="C218" s="139" t="s">
        <v>156</v>
      </c>
      <c r="D218" s="139" t="s">
        <v>169</v>
      </c>
      <c r="E218" s="139" t="s">
        <v>622</v>
      </c>
      <c r="F218" s="115">
        <v>1846847.47</v>
      </c>
      <c r="G218" s="116"/>
      <c r="H218" s="32"/>
      <c r="K218" s="139" t="s">
        <v>615</v>
      </c>
      <c r="L218" s="139" t="s">
        <v>616</v>
      </c>
      <c r="M218" s="140">
        <v>73771.48</v>
      </c>
      <c r="N218" s="140">
        <v>0</v>
      </c>
      <c r="O218" s="140">
        <v>73771.48</v>
      </c>
      <c r="P218" s="140">
        <v>0</v>
      </c>
    </row>
    <row r="219" spans="1:16">
      <c r="A219" s="139" t="s">
        <v>623</v>
      </c>
      <c r="B219" s="139" t="s">
        <v>624</v>
      </c>
      <c r="C219" s="139" t="s">
        <v>156</v>
      </c>
      <c r="D219" s="139" t="s">
        <v>169</v>
      </c>
      <c r="E219" s="139" t="s">
        <v>625</v>
      </c>
      <c r="F219" s="115">
        <v>1846847.47</v>
      </c>
      <c r="G219" s="116"/>
      <c r="H219" s="32"/>
      <c r="K219" s="139" t="s">
        <v>617</v>
      </c>
      <c r="L219" s="139" t="s">
        <v>618</v>
      </c>
      <c r="M219" s="123"/>
      <c r="N219" s="123"/>
      <c r="O219" s="123"/>
      <c r="P219" s="123"/>
    </row>
    <row r="220" spans="1:16">
      <c r="A220" s="139" t="s">
        <v>626</v>
      </c>
      <c r="B220" s="139" t="s">
        <v>627</v>
      </c>
      <c r="C220" s="139" t="s">
        <v>156</v>
      </c>
      <c r="D220" s="139" t="s">
        <v>157</v>
      </c>
      <c r="E220" s="139" t="s">
        <v>100</v>
      </c>
      <c r="F220" s="115">
        <v>0</v>
      </c>
      <c r="G220" s="116"/>
      <c r="H220" s="32">
        <f t="shared" si="3"/>
        <v>0</v>
      </c>
      <c r="K220" s="139" t="s">
        <v>620</v>
      </c>
      <c r="L220" s="139" t="s">
        <v>621</v>
      </c>
      <c r="M220" s="123"/>
      <c r="N220" s="123"/>
      <c r="O220" s="123"/>
      <c r="P220" s="123"/>
    </row>
    <row r="221" spans="1:16">
      <c r="A221" s="139" t="s">
        <v>628</v>
      </c>
      <c r="B221" s="139" t="s">
        <v>629</v>
      </c>
      <c r="C221" s="139" t="s">
        <v>156</v>
      </c>
      <c r="D221" s="139" t="s">
        <v>162</v>
      </c>
      <c r="E221" s="139" t="s">
        <v>100</v>
      </c>
      <c r="F221" s="115">
        <v>9815.93</v>
      </c>
      <c r="G221" s="116"/>
      <c r="H221" s="32">
        <f t="shared" si="3"/>
        <v>9815.93</v>
      </c>
    </row>
    <row r="222" spans="1:16">
      <c r="A222" s="139" t="s">
        <v>630</v>
      </c>
      <c r="B222" s="139" t="s">
        <v>631</v>
      </c>
      <c r="C222" s="139" t="s">
        <v>156</v>
      </c>
      <c r="D222" s="139" t="s">
        <v>169</v>
      </c>
      <c r="E222" s="139" t="s">
        <v>632</v>
      </c>
      <c r="F222" s="115">
        <v>9815.93</v>
      </c>
      <c r="G222" s="116"/>
      <c r="H222" s="32"/>
      <c r="N222" s="140">
        <v>1383828</v>
      </c>
      <c r="O222" s="140">
        <v>575786</v>
      </c>
      <c r="P222" s="140">
        <v>-101108</v>
      </c>
    </row>
    <row r="223" spans="1:16">
      <c r="A223" s="139" t="s">
        <v>633</v>
      </c>
      <c r="B223" s="139" t="s">
        <v>634</v>
      </c>
      <c r="C223" s="139" t="s">
        <v>156</v>
      </c>
      <c r="D223" s="139" t="s">
        <v>169</v>
      </c>
      <c r="E223" s="139" t="s">
        <v>635</v>
      </c>
      <c r="F223" s="115">
        <v>1856663.4</v>
      </c>
      <c r="G223" s="116"/>
      <c r="H223" s="32"/>
      <c r="N223">
        <v>-21641.45</v>
      </c>
    </row>
    <row r="224" spans="1:16">
      <c r="A224" s="139" t="s">
        <v>636</v>
      </c>
      <c r="B224" s="139" t="s">
        <v>637</v>
      </c>
      <c r="C224" s="139" t="s">
        <v>156</v>
      </c>
      <c r="D224" s="139" t="s">
        <v>157</v>
      </c>
      <c r="E224" s="139" t="s">
        <v>100</v>
      </c>
      <c r="F224" s="115">
        <v>0</v>
      </c>
      <c r="G224" s="116"/>
      <c r="H224" s="32"/>
      <c r="N224">
        <v>3365.63</v>
      </c>
    </row>
    <row r="225" spans="1:14">
      <c r="A225" s="139" t="s">
        <v>2165</v>
      </c>
      <c r="B225" s="139" t="s">
        <v>639</v>
      </c>
      <c r="C225" s="139" t="s">
        <v>156</v>
      </c>
      <c r="D225" s="139" t="s">
        <v>157</v>
      </c>
      <c r="E225" s="139" t="s">
        <v>100</v>
      </c>
      <c r="F225" s="115">
        <v>0</v>
      </c>
      <c r="G225" s="116"/>
      <c r="H225" s="32"/>
      <c r="N225">
        <v>2964.64</v>
      </c>
    </row>
    <row r="226" spans="1:14">
      <c r="A226" s="139" t="s">
        <v>638</v>
      </c>
      <c r="B226" s="139" t="s">
        <v>639</v>
      </c>
      <c r="C226" s="139" t="s">
        <v>156</v>
      </c>
      <c r="D226" s="139" t="s">
        <v>157</v>
      </c>
      <c r="E226" s="139" t="s">
        <v>100</v>
      </c>
      <c r="F226" s="115">
        <v>0</v>
      </c>
      <c r="G226" s="116"/>
      <c r="H226" s="32"/>
    </row>
    <row r="227" spans="1:14">
      <c r="A227" s="139" t="s">
        <v>640</v>
      </c>
      <c r="B227" s="139" t="s">
        <v>641</v>
      </c>
      <c r="C227" s="139" t="s">
        <v>156</v>
      </c>
      <c r="D227" s="139" t="s">
        <v>162</v>
      </c>
      <c r="E227" s="139" t="s">
        <v>100</v>
      </c>
      <c r="F227" s="115">
        <v>-2589917.63</v>
      </c>
      <c r="G227" s="116"/>
      <c r="H227" s="32">
        <f t="shared" si="3"/>
        <v>-2589917.63</v>
      </c>
    </row>
    <row r="228" spans="1:14">
      <c r="A228" s="139" t="s">
        <v>642</v>
      </c>
      <c r="B228" s="139" t="s">
        <v>643</v>
      </c>
      <c r="C228" s="139" t="s">
        <v>156</v>
      </c>
      <c r="D228" s="139" t="s">
        <v>162</v>
      </c>
      <c r="E228" s="139" t="s">
        <v>100</v>
      </c>
      <c r="F228" s="115">
        <v>-89291.21</v>
      </c>
      <c r="G228" s="116"/>
      <c r="H228" s="32">
        <f t="shared" si="3"/>
        <v>-89291.21</v>
      </c>
    </row>
    <row r="229" spans="1:14">
      <c r="A229" s="139" t="s">
        <v>644</v>
      </c>
      <c r="B229" s="139" t="s">
        <v>645</v>
      </c>
      <c r="C229" s="139" t="s">
        <v>156</v>
      </c>
      <c r="D229" s="139" t="s">
        <v>162</v>
      </c>
      <c r="E229" s="139" t="s">
        <v>100</v>
      </c>
      <c r="F229" s="115">
        <v>0</v>
      </c>
      <c r="G229" s="116"/>
      <c r="H229" s="32">
        <f t="shared" si="3"/>
        <v>0</v>
      </c>
    </row>
    <row r="230" spans="1:14">
      <c r="A230" s="139" t="s">
        <v>646</v>
      </c>
      <c r="B230" s="139" t="s">
        <v>202</v>
      </c>
      <c r="C230" s="139" t="s">
        <v>156</v>
      </c>
      <c r="D230" s="139" t="s">
        <v>162</v>
      </c>
      <c r="E230" s="139" t="s">
        <v>100</v>
      </c>
      <c r="F230" s="115">
        <v>-46667</v>
      </c>
      <c r="G230" s="116"/>
      <c r="H230" s="32">
        <f t="shared" si="3"/>
        <v>-46667</v>
      </c>
    </row>
    <row r="231" spans="1:14">
      <c r="A231" s="139" t="s">
        <v>647</v>
      </c>
      <c r="B231" s="139" t="s">
        <v>648</v>
      </c>
      <c r="C231" s="139" t="s">
        <v>156</v>
      </c>
      <c r="D231" s="139" t="s">
        <v>162</v>
      </c>
      <c r="E231" s="139" t="s">
        <v>100</v>
      </c>
      <c r="F231" s="115">
        <v>139723.35999999999</v>
      </c>
      <c r="G231" s="116"/>
      <c r="H231" s="32">
        <f t="shared" si="3"/>
        <v>139723.35999999999</v>
      </c>
    </row>
    <row r="232" spans="1:14">
      <c r="A232" s="139" t="s">
        <v>649</v>
      </c>
      <c r="B232" s="139" t="s">
        <v>650</v>
      </c>
      <c r="C232" s="139" t="s">
        <v>156</v>
      </c>
      <c r="D232" s="139" t="s">
        <v>162</v>
      </c>
      <c r="E232" s="139" t="s">
        <v>100</v>
      </c>
      <c r="F232" s="115">
        <v>206609.86</v>
      </c>
      <c r="G232" s="116"/>
      <c r="H232" s="32">
        <f t="shared" si="3"/>
        <v>206609.86</v>
      </c>
    </row>
    <row r="233" spans="1:14">
      <c r="A233" s="139" t="s">
        <v>651</v>
      </c>
      <c r="B233" s="139" t="s">
        <v>652</v>
      </c>
      <c r="C233" s="139" t="s">
        <v>156</v>
      </c>
      <c r="D233" s="139" t="s">
        <v>162</v>
      </c>
      <c r="E233" s="139" t="s">
        <v>100</v>
      </c>
      <c r="F233" s="115">
        <v>336074.92</v>
      </c>
      <c r="G233" s="116">
        <v>-730.1</v>
      </c>
      <c r="H233" s="32">
        <f t="shared" si="3"/>
        <v>335344.82</v>
      </c>
    </row>
    <row r="234" spans="1:14">
      <c r="A234" s="139" t="s">
        <v>653</v>
      </c>
      <c r="B234" s="139" t="s">
        <v>654</v>
      </c>
      <c r="C234" s="139" t="s">
        <v>156</v>
      </c>
      <c r="D234" s="139" t="s">
        <v>162</v>
      </c>
      <c r="E234" s="139" t="s">
        <v>100</v>
      </c>
      <c r="F234" s="115">
        <v>10225</v>
      </c>
      <c r="G234" s="116"/>
      <c r="H234" s="32">
        <f t="shared" si="3"/>
        <v>10225</v>
      </c>
    </row>
    <row r="235" spans="1:14">
      <c r="A235" s="139" t="s">
        <v>655</v>
      </c>
      <c r="B235" s="139" t="s">
        <v>656</v>
      </c>
      <c r="C235" s="139" t="s">
        <v>156</v>
      </c>
      <c r="D235" s="139" t="s">
        <v>162</v>
      </c>
      <c r="E235" s="139" t="s">
        <v>100</v>
      </c>
      <c r="F235" s="115">
        <v>25860.79</v>
      </c>
      <c r="G235" s="116"/>
      <c r="H235" s="32">
        <f t="shared" si="3"/>
        <v>25860.79</v>
      </c>
    </row>
    <row r="236" spans="1:14">
      <c r="A236" s="139" t="s">
        <v>657</v>
      </c>
      <c r="B236" s="139" t="s">
        <v>658</v>
      </c>
      <c r="C236" s="139" t="s">
        <v>156</v>
      </c>
      <c r="D236" s="139" t="s">
        <v>162</v>
      </c>
      <c r="E236" s="139" t="s">
        <v>100</v>
      </c>
      <c r="F236" s="115">
        <v>974.95</v>
      </c>
      <c r="G236" s="116"/>
      <c r="H236" s="32">
        <f t="shared" si="3"/>
        <v>974.95</v>
      </c>
    </row>
    <row r="237" spans="1:14">
      <c r="A237" s="139" t="s">
        <v>659</v>
      </c>
      <c r="B237" s="139" t="s">
        <v>660</v>
      </c>
      <c r="C237" s="139" t="s">
        <v>156</v>
      </c>
      <c r="D237" s="139" t="s">
        <v>162</v>
      </c>
      <c r="E237" s="139" t="s">
        <v>100</v>
      </c>
      <c r="F237" s="115">
        <v>989016.56</v>
      </c>
      <c r="G237" s="116"/>
      <c r="H237" s="32">
        <f t="shared" si="3"/>
        <v>989016.56</v>
      </c>
    </row>
    <row r="238" spans="1:14">
      <c r="A238" s="139" t="s">
        <v>661</v>
      </c>
      <c r="B238" s="139" t="s">
        <v>662</v>
      </c>
      <c r="C238" s="139" t="s">
        <v>156</v>
      </c>
      <c r="D238" s="139" t="s">
        <v>162</v>
      </c>
      <c r="E238" s="139" t="s">
        <v>100</v>
      </c>
      <c r="F238" s="115">
        <v>0</v>
      </c>
      <c r="G238" s="116"/>
      <c r="H238" s="32">
        <f t="shared" si="3"/>
        <v>0</v>
      </c>
    </row>
    <row r="239" spans="1:14">
      <c r="A239" s="139" t="s">
        <v>663</v>
      </c>
      <c r="B239" s="139" t="s">
        <v>664</v>
      </c>
      <c r="C239" s="139" t="s">
        <v>156</v>
      </c>
      <c r="D239" s="139" t="s">
        <v>162</v>
      </c>
      <c r="E239" s="139" t="s">
        <v>100</v>
      </c>
      <c r="F239" s="115">
        <v>871206.86</v>
      </c>
      <c r="G239" s="116"/>
      <c r="H239" s="32">
        <f t="shared" si="3"/>
        <v>871206.86</v>
      </c>
    </row>
    <row r="240" spans="1:14">
      <c r="A240" s="139" t="s">
        <v>665</v>
      </c>
      <c r="B240" s="139" t="s">
        <v>666</v>
      </c>
      <c r="C240" s="139" t="s">
        <v>156</v>
      </c>
      <c r="D240" s="139" t="s">
        <v>162</v>
      </c>
      <c r="E240" s="139" t="s">
        <v>100</v>
      </c>
      <c r="F240" s="115">
        <v>167515.34</v>
      </c>
      <c r="G240" s="116"/>
      <c r="H240" s="32">
        <f t="shared" si="3"/>
        <v>167515.34</v>
      </c>
    </row>
    <row r="241" spans="1:8">
      <c r="A241" s="139" t="s">
        <v>667</v>
      </c>
      <c r="B241" s="139" t="s">
        <v>220</v>
      </c>
      <c r="C241" s="139" t="s">
        <v>156</v>
      </c>
      <c r="D241" s="139" t="s">
        <v>162</v>
      </c>
      <c r="E241" s="139" t="s">
        <v>100</v>
      </c>
      <c r="F241" s="115">
        <v>57104.800000000003</v>
      </c>
      <c r="G241" s="116"/>
      <c r="H241" s="32">
        <f t="shared" si="3"/>
        <v>57104.800000000003</v>
      </c>
    </row>
    <row r="242" spans="1:8">
      <c r="A242" s="139" t="s">
        <v>668</v>
      </c>
      <c r="B242" s="139" t="s">
        <v>669</v>
      </c>
      <c r="C242" s="139" t="s">
        <v>156</v>
      </c>
      <c r="D242" s="139" t="s">
        <v>162</v>
      </c>
      <c r="E242" s="139" t="s">
        <v>100</v>
      </c>
      <c r="F242" s="115">
        <v>148580</v>
      </c>
      <c r="G242" s="116"/>
      <c r="H242" s="32">
        <f t="shared" si="3"/>
        <v>148580</v>
      </c>
    </row>
    <row r="243" spans="1:8">
      <c r="A243" s="139" t="s">
        <v>670</v>
      </c>
      <c r="B243" s="139" t="s">
        <v>671</v>
      </c>
      <c r="C243" s="139" t="s">
        <v>156</v>
      </c>
      <c r="D243" s="139" t="s">
        <v>162</v>
      </c>
      <c r="E243" s="139" t="s">
        <v>100</v>
      </c>
      <c r="F243" s="115">
        <v>0</v>
      </c>
      <c r="G243" s="116"/>
      <c r="H243" s="32">
        <f t="shared" si="3"/>
        <v>0</v>
      </c>
    </row>
    <row r="244" spans="1:8">
      <c r="A244" s="139" t="s">
        <v>2166</v>
      </c>
      <c r="B244" s="139" t="s">
        <v>2167</v>
      </c>
      <c r="C244" s="139" t="s">
        <v>156</v>
      </c>
      <c r="D244" s="139" t="s">
        <v>169</v>
      </c>
      <c r="E244" s="139" t="s">
        <v>2168</v>
      </c>
      <c r="F244" s="115">
        <v>227016.6</v>
      </c>
      <c r="G244" s="116"/>
      <c r="H244" s="32"/>
    </row>
    <row r="245" spans="1:8">
      <c r="A245" s="139" t="s">
        <v>672</v>
      </c>
      <c r="B245" s="139" t="s">
        <v>673</v>
      </c>
      <c r="C245" s="139" t="s">
        <v>156</v>
      </c>
      <c r="D245" s="139" t="s">
        <v>169</v>
      </c>
      <c r="E245" s="139" t="s">
        <v>2169</v>
      </c>
      <c r="F245" s="115">
        <v>227016.6</v>
      </c>
      <c r="G245" s="116"/>
      <c r="H245" s="32"/>
    </row>
    <row r="246" spans="1:8">
      <c r="A246" s="139" t="s">
        <v>675</v>
      </c>
      <c r="B246" s="139" t="s">
        <v>676</v>
      </c>
      <c r="C246" s="139" t="s">
        <v>156</v>
      </c>
      <c r="D246" s="139" t="s">
        <v>157</v>
      </c>
      <c r="E246" s="139" t="s">
        <v>100</v>
      </c>
      <c r="F246" s="115">
        <v>0</v>
      </c>
      <c r="G246" s="116"/>
      <c r="H246" s="32">
        <f t="shared" si="3"/>
        <v>0</v>
      </c>
    </row>
    <row r="247" spans="1:8">
      <c r="A247" s="139" t="s">
        <v>677</v>
      </c>
      <c r="B247" s="139" t="s">
        <v>678</v>
      </c>
      <c r="C247" s="139" t="s">
        <v>156</v>
      </c>
      <c r="D247" s="139" t="s">
        <v>162</v>
      </c>
      <c r="E247" s="139" t="s">
        <v>100</v>
      </c>
      <c r="F247" s="115">
        <v>0</v>
      </c>
      <c r="G247" s="116"/>
      <c r="H247" s="32">
        <f t="shared" si="3"/>
        <v>0</v>
      </c>
    </row>
    <row r="248" spans="1:8">
      <c r="A248" s="139" t="s">
        <v>679</v>
      </c>
      <c r="B248" s="139" t="s">
        <v>680</v>
      </c>
      <c r="C248" s="139" t="s">
        <v>156</v>
      </c>
      <c r="D248" s="139" t="s">
        <v>162</v>
      </c>
      <c r="E248" s="139" t="s">
        <v>100</v>
      </c>
      <c r="F248" s="115">
        <v>0</v>
      </c>
      <c r="G248" s="116"/>
      <c r="H248" s="32">
        <f t="shared" si="3"/>
        <v>0</v>
      </c>
    </row>
    <row r="249" spans="1:8">
      <c r="A249" s="139" t="s">
        <v>681</v>
      </c>
      <c r="B249" s="139" t="s">
        <v>682</v>
      </c>
      <c r="C249" s="139" t="s">
        <v>156</v>
      </c>
      <c r="D249" s="139" t="s">
        <v>169</v>
      </c>
      <c r="E249" s="139" t="s">
        <v>683</v>
      </c>
      <c r="F249" s="115">
        <v>0</v>
      </c>
      <c r="G249" s="116"/>
      <c r="H249" s="32"/>
    </row>
    <row r="250" spans="1:8">
      <c r="A250" s="139" t="s">
        <v>684</v>
      </c>
      <c r="B250" s="139" t="s">
        <v>685</v>
      </c>
      <c r="C250" s="139" t="s">
        <v>156</v>
      </c>
      <c r="D250" s="139" t="s">
        <v>157</v>
      </c>
      <c r="E250" s="139" t="s">
        <v>100</v>
      </c>
      <c r="F250" s="115">
        <v>0</v>
      </c>
      <c r="G250" s="116"/>
      <c r="H250" s="32"/>
    </row>
    <row r="251" spans="1:8">
      <c r="A251" s="139" t="s">
        <v>686</v>
      </c>
      <c r="B251" s="139" t="s">
        <v>687</v>
      </c>
      <c r="C251" s="139" t="s">
        <v>156</v>
      </c>
      <c r="D251" s="139" t="s">
        <v>162</v>
      </c>
      <c r="E251" s="139" t="s">
        <v>100</v>
      </c>
      <c r="F251" s="115">
        <v>190934.26</v>
      </c>
      <c r="G251" s="116"/>
      <c r="H251" s="32">
        <f t="shared" si="3"/>
        <v>190934.26</v>
      </c>
    </row>
    <row r="252" spans="1:8">
      <c r="A252" s="139" t="s">
        <v>688</v>
      </c>
      <c r="B252" s="139" t="s">
        <v>689</v>
      </c>
      <c r="C252" s="139" t="s">
        <v>156</v>
      </c>
      <c r="D252" s="139" t="s">
        <v>162</v>
      </c>
      <c r="E252" s="139" t="s">
        <v>100</v>
      </c>
      <c r="F252" s="115">
        <v>576.54</v>
      </c>
      <c r="G252" s="116"/>
      <c r="H252" s="32">
        <f t="shared" si="3"/>
        <v>576.54</v>
      </c>
    </row>
    <row r="253" spans="1:8">
      <c r="A253" s="139" t="s">
        <v>690</v>
      </c>
      <c r="B253" s="139" t="s">
        <v>691</v>
      </c>
      <c r="C253" s="139" t="s">
        <v>156</v>
      </c>
      <c r="D253" s="139" t="s">
        <v>162</v>
      </c>
      <c r="E253" s="139" t="s">
        <v>100</v>
      </c>
      <c r="F253" s="115">
        <v>65972.100000000006</v>
      </c>
      <c r="G253" s="116"/>
      <c r="H253" s="32">
        <f t="shared" si="3"/>
        <v>65972.100000000006</v>
      </c>
    </row>
    <row r="254" spans="1:8">
      <c r="A254" s="139" t="s">
        <v>692</v>
      </c>
      <c r="B254" s="139" t="s">
        <v>693</v>
      </c>
      <c r="C254" s="139" t="s">
        <v>156</v>
      </c>
      <c r="D254" s="139" t="s">
        <v>162</v>
      </c>
      <c r="E254" s="139" t="s">
        <v>100</v>
      </c>
      <c r="F254" s="115">
        <v>10394.59</v>
      </c>
      <c r="G254" s="116"/>
      <c r="H254" s="32">
        <f t="shared" si="3"/>
        <v>10394.59</v>
      </c>
    </row>
    <row r="255" spans="1:8">
      <c r="A255" s="139" t="s">
        <v>694</v>
      </c>
      <c r="B255" s="139" t="s">
        <v>695</v>
      </c>
      <c r="C255" s="139" t="s">
        <v>156</v>
      </c>
      <c r="D255" s="139" t="s">
        <v>162</v>
      </c>
      <c r="E255" s="139" t="s">
        <v>100</v>
      </c>
      <c r="F255" s="115">
        <v>25596.43</v>
      </c>
      <c r="G255" s="116"/>
      <c r="H255" s="32">
        <f t="shared" si="3"/>
        <v>25596.43</v>
      </c>
    </row>
    <row r="256" spans="1:8">
      <c r="A256" s="139" t="s">
        <v>696</v>
      </c>
      <c r="B256" s="139" t="s">
        <v>697</v>
      </c>
      <c r="C256" s="139" t="s">
        <v>156</v>
      </c>
      <c r="D256" s="139" t="s">
        <v>169</v>
      </c>
      <c r="E256" s="139" t="s">
        <v>698</v>
      </c>
      <c r="F256" s="115">
        <v>293473.91999999998</v>
      </c>
      <c r="G256" s="116"/>
      <c r="H256" s="32"/>
    </row>
    <row r="257" spans="1:8">
      <c r="A257" s="139" t="s">
        <v>699</v>
      </c>
      <c r="B257" s="139" t="s">
        <v>700</v>
      </c>
      <c r="C257" s="139" t="s">
        <v>156</v>
      </c>
      <c r="D257" s="139" t="s">
        <v>157</v>
      </c>
      <c r="E257" s="139" t="s">
        <v>100</v>
      </c>
      <c r="F257" s="115">
        <v>0</v>
      </c>
      <c r="G257" s="116"/>
      <c r="H257" s="32">
        <f t="shared" si="3"/>
        <v>0</v>
      </c>
    </row>
    <row r="258" spans="1:8">
      <c r="A258" s="139" t="s">
        <v>701</v>
      </c>
      <c r="B258" s="139" t="s">
        <v>702</v>
      </c>
      <c r="C258" s="139" t="s">
        <v>156</v>
      </c>
      <c r="D258" s="139" t="s">
        <v>162</v>
      </c>
      <c r="E258" s="139" t="s">
        <v>100</v>
      </c>
      <c r="F258" s="115">
        <v>-1170106.32</v>
      </c>
      <c r="G258" s="116"/>
      <c r="H258" s="32">
        <f t="shared" si="3"/>
        <v>-1170106.32</v>
      </c>
    </row>
    <row r="259" spans="1:8">
      <c r="A259" s="139" t="s">
        <v>703</v>
      </c>
      <c r="B259" s="139" t="s">
        <v>704</v>
      </c>
      <c r="C259" s="139" t="s">
        <v>156</v>
      </c>
      <c r="D259" s="139" t="s">
        <v>162</v>
      </c>
      <c r="E259" s="139" t="s">
        <v>100</v>
      </c>
      <c r="F259" s="115">
        <v>0</v>
      </c>
      <c r="G259" s="116"/>
      <c r="H259" s="32">
        <f t="shared" si="3"/>
        <v>0</v>
      </c>
    </row>
    <row r="260" spans="1:8">
      <c r="A260" s="139" t="s">
        <v>705</v>
      </c>
      <c r="B260" s="139" t="s">
        <v>664</v>
      </c>
      <c r="C260" s="139" t="s">
        <v>156</v>
      </c>
      <c r="D260" s="139" t="s">
        <v>162</v>
      </c>
      <c r="E260" s="139" t="s">
        <v>100</v>
      </c>
      <c r="F260" s="115">
        <v>579437.76</v>
      </c>
      <c r="G260" s="116"/>
      <c r="H260" s="32">
        <f t="shared" si="3"/>
        <v>579437.76</v>
      </c>
    </row>
    <row r="261" spans="1:8">
      <c r="A261" s="139" t="s">
        <v>706</v>
      </c>
      <c r="B261" s="139" t="s">
        <v>707</v>
      </c>
      <c r="C261" s="139" t="s">
        <v>156</v>
      </c>
      <c r="D261" s="139" t="s">
        <v>162</v>
      </c>
      <c r="E261" s="139" t="s">
        <v>100</v>
      </c>
      <c r="F261" s="115">
        <v>532033.98</v>
      </c>
      <c r="G261" s="116"/>
      <c r="H261" s="32">
        <f t="shared" si="3"/>
        <v>532033.98</v>
      </c>
    </row>
    <row r="262" spans="1:8">
      <c r="A262" s="139" t="s">
        <v>708</v>
      </c>
      <c r="B262" s="139" t="s">
        <v>709</v>
      </c>
      <c r="C262" s="139" t="s">
        <v>156</v>
      </c>
      <c r="D262" s="139" t="s">
        <v>162</v>
      </c>
      <c r="E262" s="139" t="s">
        <v>100</v>
      </c>
      <c r="F262" s="115">
        <v>19429.7</v>
      </c>
      <c r="G262" s="116"/>
      <c r="H262" s="32">
        <f t="shared" ref="H262:H324" si="4">SUM(F262:G262)</f>
        <v>19429.7</v>
      </c>
    </row>
    <row r="263" spans="1:8">
      <c r="A263" s="139" t="s">
        <v>710</v>
      </c>
      <c r="B263" s="139" t="s">
        <v>711</v>
      </c>
      <c r="C263" s="139" t="s">
        <v>156</v>
      </c>
      <c r="D263" s="139" t="s">
        <v>162</v>
      </c>
      <c r="E263" s="139" t="s">
        <v>100</v>
      </c>
      <c r="F263" s="115">
        <v>122502.42</v>
      </c>
      <c r="G263" s="116"/>
      <c r="H263" s="32">
        <f t="shared" si="4"/>
        <v>122502.42</v>
      </c>
    </row>
    <row r="264" spans="1:8">
      <c r="A264" s="139" t="s">
        <v>712</v>
      </c>
      <c r="B264" s="139" t="s">
        <v>713</v>
      </c>
      <c r="C264" s="139" t="s">
        <v>156</v>
      </c>
      <c r="D264" s="139" t="s">
        <v>169</v>
      </c>
      <c r="E264" s="139" t="s">
        <v>714</v>
      </c>
      <c r="F264" s="115">
        <v>83297.539999999994</v>
      </c>
      <c r="G264" s="116"/>
      <c r="H264" s="32"/>
    </row>
    <row r="265" spans="1:8">
      <c r="A265" s="139" t="s">
        <v>715</v>
      </c>
      <c r="B265" s="139" t="s">
        <v>716</v>
      </c>
      <c r="C265" s="139" t="s">
        <v>156</v>
      </c>
      <c r="D265" s="139" t="s">
        <v>169</v>
      </c>
      <c r="E265" s="139" t="s">
        <v>717</v>
      </c>
      <c r="F265" s="115">
        <v>603788.06000000006</v>
      </c>
      <c r="G265" s="116"/>
      <c r="H265" s="32"/>
    </row>
    <row r="266" spans="1:8">
      <c r="A266" s="139" t="s">
        <v>718</v>
      </c>
      <c r="B266" s="139" t="s">
        <v>719</v>
      </c>
      <c r="C266" s="139" t="s">
        <v>156</v>
      </c>
      <c r="D266" s="139" t="s">
        <v>157</v>
      </c>
      <c r="E266" s="139" t="s">
        <v>100</v>
      </c>
      <c r="F266" s="115">
        <v>0</v>
      </c>
      <c r="G266" s="116"/>
      <c r="H266" s="32">
        <f t="shared" si="4"/>
        <v>0</v>
      </c>
    </row>
    <row r="267" spans="1:8">
      <c r="A267" s="139" t="s">
        <v>720</v>
      </c>
      <c r="B267" s="139" t="s">
        <v>721</v>
      </c>
      <c r="C267" s="139" t="s">
        <v>156</v>
      </c>
      <c r="D267" s="139" t="s">
        <v>157</v>
      </c>
      <c r="E267" s="139" t="s">
        <v>100</v>
      </c>
      <c r="F267" s="115">
        <v>0</v>
      </c>
      <c r="G267" s="116"/>
      <c r="H267" s="32">
        <f t="shared" si="4"/>
        <v>0</v>
      </c>
    </row>
    <row r="268" spans="1:8">
      <c r="A268" s="139" t="s">
        <v>722</v>
      </c>
      <c r="B268" s="139" t="s">
        <v>723</v>
      </c>
      <c r="C268" s="139" t="s">
        <v>156</v>
      </c>
      <c r="D268" s="139" t="s">
        <v>162</v>
      </c>
      <c r="E268" s="139" t="s">
        <v>100</v>
      </c>
      <c r="F268" s="115">
        <v>-113697.96</v>
      </c>
      <c r="G268" s="116"/>
      <c r="H268" s="122">
        <f t="shared" si="4"/>
        <v>-113697.96</v>
      </c>
    </row>
    <row r="269" spans="1:8">
      <c r="A269" s="139" t="s">
        <v>724</v>
      </c>
      <c r="B269" s="139" t="s">
        <v>725</v>
      </c>
      <c r="C269" s="139" t="s">
        <v>156</v>
      </c>
      <c r="D269" s="139" t="s">
        <v>162</v>
      </c>
      <c r="E269" s="139" t="s">
        <v>100</v>
      </c>
      <c r="F269" s="115">
        <v>-56821.22</v>
      </c>
      <c r="G269" s="116">
        <v>56820.62</v>
      </c>
      <c r="H269" s="122">
        <f t="shared" si="4"/>
        <v>-0.59999999999854481</v>
      </c>
    </row>
    <row r="270" spans="1:8">
      <c r="A270" s="139" t="s">
        <v>726</v>
      </c>
      <c r="B270" s="139" t="s">
        <v>727</v>
      </c>
      <c r="C270" s="139" t="s">
        <v>156</v>
      </c>
      <c r="D270" s="139" t="s">
        <v>162</v>
      </c>
      <c r="E270" s="139" t="s">
        <v>100</v>
      </c>
      <c r="F270" s="115">
        <v>-95280</v>
      </c>
      <c r="G270" s="116"/>
      <c r="H270" s="122">
        <f t="shared" si="4"/>
        <v>-95280</v>
      </c>
    </row>
    <row r="271" spans="1:8">
      <c r="A271" s="139" t="s">
        <v>728</v>
      </c>
      <c r="B271" s="139" t="s">
        <v>729</v>
      </c>
      <c r="C271" s="139" t="s">
        <v>156</v>
      </c>
      <c r="D271" s="139" t="s">
        <v>162</v>
      </c>
      <c r="E271" s="139" t="s">
        <v>100</v>
      </c>
      <c r="F271" s="115">
        <v>189245.12</v>
      </c>
      <c r="G271" s="116"/>
      <c r="H271" s="122">
        <f t="shared" si="4"/>
        <v>189245.12</v>
      </c>
    </row>
    <row r="272" spans="1:8">
      <c r="A272" s="139" t="s">
        <v>730</v>
      </c>
      <c r="B272" s="139" t="s">
        <v>731</v>
      </c>
      <c r="C272" s="139" t="s">
        <v>156</v>
      </c>
      <c r="D272" s="139" t="s">
        <v>162</v>
      </c>
      <c r="E272" s="139" t="s">
        <v>100</v>
      </c>
      <c r="F272" s="115">
        <v>0</v>
      </c>
      <c r="G272" s="116"/>
      <c r="H272" s="32">
        <f t="shared" si="4"/>
        <v>0</v>
      </c>
    </row>
    <row r="273" spans="1:8">
      <c r="A273" s="139" t="s">
        <v>732</v>
      </c>
      <c r="B273" s="139" t="s">
        <v>733</v>
      </c>
      <c r="C273" s="139" t="s">
        <v>156</v>
      </c>
      <c r="D273" s="139" t="s">
        <v>162</v>
      </c>
      <c r="E273" s="139" t="s">
        <v>100</v>
      </c>
      <c r="F273" s="115">
        <v>0</v>
      </c>
      <c r="G273" s="116"/>
      <c r="H273" s="32">
        <f t="shared" si="4"/>
        <v>0</v>
      </c>
    </row>
    <row r="274" spans="1:8">
      <c r="A274" s="139" t="s">
        <v>734</v>
      </c>
      <c r="B274" s="139" t="s">
        <v>735</v>
      </c>
      <c r="C274" s="139" t="s">
        <v>156</v>
      </c>
      <c r="D274" s="139" t="s">
        <v>162</v>
      </c>
      <c r="E274" s="139" t="s">
        <v>100</v>
      </c>
      <c r="F274" s="115">
        <v>0</v>
      </c>
      <c r="G274" s="116"/>
      <c r="H274" s="32">
        <f t="shared" si="4"/>
        <v>0</v>
      </c>
    </row>
    <row r="275" spans="1:8">
      <c r="A275" s="139" t="s">
        <v>736</v>
      </c>
      <c r="B275" s="139" t="s">
        <v>737</v>
      </c>
      <c r="C275" s="139" t="s">
        <v>156</v>
      </c>
      <c r="D275" s="139" t="s">
        <v>162</v>
      </c>
      <c r="E275" s="139" t="s">
        <v>100</v>
      </c>
      <c r="F275" s="115">
        <v>10955.25</v>
      </c>
      <c r="G275" s="116">
        <v>-72.5</v>
      </c>
      <c r="H275" s="122">
        <f t="shared" si="4"/>
        <v>10882.75</v>
      </c>
    </row>
    <row r="276" spans="1:8">
      <c r="A276" s="139" t="s">
        <v>738</v>
      </c>
      <c r="B276" s="139" t="s">
        <v>739</v>
      </c>
      <c r="C276" s="139" t="s">
        <v>156</v>
      </c>
      <c r="D276" s="139" t="s">
        <v>162</v>
      </c>
      <c r="E276" s="139" t="s">
        <v>100</v>
      </c>
      <c r="F276" s="115">
        <v>364.94</v>
      </c>
      <c r="G276" s="116"/>
      <c r="H276" s="122">
        <f t="shared" si="4"/>
        <v>364.94</v>
      </c>
    </row>
    <row r="277" spans="1:8">
      <c r="A277" s="139" t="s">
        <v>740</v>
      </c>
      <c r="B277" s="139" t="s">
        <v>741</v>
      </c>
      <c r="C277" s="139" t="s">
        <v>156</v>
      </c>
      <c r="D277" s="139" t="s">
        <v>162</v>
      </c>
      <c r="E277" s="139" t="s">
        <v>100</v>
      </c>
      <c r="F277" s="115">
        <v>7430.32</v>
      </c>
      <c r="G277" s="116"/>
      <c r="H277" s="122">
        <f t="shared" si="4"/>
        <v>7430.32</v>
      </c>
    </row>
    <row r="278" spans="1:8">
      <c r="A278" s="139" t="s">
        <v>742</v>
      </c>
      <c r="B278" s="139" t="s">
        <v>743</v>
      </c>
      <c r="C278" s="139" t="s">
        <v>156</v>
      </c>
      <c r="D278" s="139" t="s">
        <v>162</v>
      </c>
      <c r="E278" s="139" t="s">
        <v>100</v>
      </c>
      <c r="F278" s="115">
        <v>4904.3999999999996</v>
      </c>
      <c r="G278" s="116"/>
      <c r="H278" s="122">
        <f t="shared" si="4"/>
        <v>4904.3999999999996</v>
      </c>
    </row>
    <row r="279" spans="1:8">
      <c r="A279" s="139" t="s">
        <v>744</v>
      </c>
      <c r="B279" s="139" t="s">
        <v>536</v>
      </c>
      <c r="C279" s="139" t="s">
        <v>156</v>
      </c>
      <c r="D279" s="139" t="s">
        <v>162</v>
      </c>
      <c r="E279" s="139" t="s">
        <v>100</v>
      </c>
      <c r="F279" s="115">
        <v>9608.25</v>
      </c>
      <c r="G279" s="116"/>
      <c r="H279" s="122">
        <f t="shared" si="4"/>
        <v>9608.25</v>
      </c>
    </row>
    <row r="280" spans="1:8">
      <c r="A280" s="139" t="s">
        <v>745</v>
      </c>
      <c r="B280" s="139" t="s">
        <v>746</v>
      </c>
      <c r="C280" s="139" t="s">
        <v>156</v>
      </c>
      <c r="D280" s="139" t="s">
        <v>162</v>
      </c>
      <c r="E280" s="139" t="s">
        <v>100</v>
      </c>
      <c r="F280" s="115">
        <v>15535.12</v>
      </c>
      <c r="G280" s="116"/>
      <c r="H280" s="32">
        <f t="shared" si="4"/>
        <v>15535.12</v>
      </c>
    </row>
    <row r="281" spans="1:8">
      <c r="A281" s="139" t="s">
        <v>747</v>
      </c>
      <c r="B281" s="139" t="s">
        <v>748</v>
      </c>
      <c r="C281" s="139" t="s">
        <v>156</v>
      </c>
      <c r="D281" s="139" t="s">
        <v>162</v>
      </c>
      <c r="E281" s="139" t="s">
        <v>100</v>
      </c>
      <c r="F281" s="115">
        <v>126875</v>
      </c>
      <c r="G281" s="116"/>
      <c r="H281" s="122">
        <f t="shared" si="4"/>
        <v>126875</v>
      </c>
    </row>
    <row r="282" spans="1:8">
      <c r="A282" s="139" t="s">
        <v>749</v>
      </c>
      <c r="B282" s="139" t="s">
        <v>750</v>
      </c>
      <c r="C282" s="139" t="s">
        <v>156</v>
      </c>
      <c r="D282" s="139" t="s">
        <v>162</v>
      </c>
      <c r="E282" s="139" t="s">
        <v>100</v>
      </c>
      <c r="F282" s="115">
        <v>114968.75</v>
      </c>
      <c r="G282" s="116"/>
      <c r="H282" s="122">
        <f t="shared" si="4"/>
        <v>114968.75</v>
      </c>
    </row>
    <row r="283" spans="1:8">
      <c r="A283" s="139" t="s">
        <v>751</v>
      </c>
      <c r="B283" s="139" t="s">
        <v>752</v>
      </c>
      <c r="C283" s="139" t="s">
        <v>156</v>
      </c>
      <c r="D283" s="139" t="s">
        <v>162</v>
      </c>
      <c r="E283" s="139" t="s">
        <v>100</v>
      </c>
      <c r="F283" s="115">
        <v>55693.919999999998</v>
      </c>
      <c r="G283" s="116"/>
      <c r="H283" s="122">
        <f t="shared" si="4"/>
        <v>55693.919999999998</v>
      </c>
    </row>
    <row r="284" spans="1:8">
      <c r="A284" s="139" t="s">
        <v>753</v>
      </c>
      <c r="B284" s="139" t="s">
        <v>220</v>
      </c>
      <c r="C284" s="139" t="s">
        <v>156</v>
      </c>
      <c r="D284" s="139" t="s">
        <v>162</v>
      </c>
      <c r="E284" s="139" t="s">
        <v>100</v>
      </c>
      <c r="F284" s="115">
        <v>46725.07</v>
      </c>
      <c r="G284" s="116"/>
      <c r="H284" s="32">
        <f t="shared" si="4"/>
        <v>46725.07</v>
      </c>
    </row>
    <row r="285" spans="1:8">
      <c r="A285" s="139" t="s">
        <v>754</v>
      </c>
      <c r="B285" s="139" t="s">
        <v>755</v>
      </c>
      <c r="C285" s="139" t="s">
        <v>156</v>
      </c>
      <c r="D285" s="139" t="s">
        <v>162</v>
      </c>
      <c r="E285" s="139" t="s">
        <v>100</v>
      </c>
      <c r="F285" s="115">
        <v>-30.18</v>
      </c>
      <c r="G285" s="116"/>
      <c r="H285" s="32">
        <f t="shared" si="4"/>
        <v>-30.18</v>
      </c>
    </row>
    <row r="286" spans="1:8">
      <c r="A286" s="139" t="s">
        <v>756</v>
      </c>
      <c r="B286" s="139" t="s">
        <v>757</v>
      </c>
      <c r="C286" s="139" t="s">
        <v>156</v>
      </c>
      <c r="D286" s="139" t="s">
        <v>162</v>
      </c>
      <c r="E286" s="139" t="s">
        <v>100</v>
      </c>
      <c r="F286" s="115">
        <v>0</v>
      </c>
      <c r="G286" s="116"/>
      <c r="H286" s="32">
        <f t="shared" si="4"/>
        <v>0</v>
      </c>
    </row>
    <row r="287" spans="1:8">
      <c r="A287" s="139" t="s">
        <v>758</v>
      </c>
      <c r="B287" s="139" t="s">
        <v>759</v>
      </c>
      <c r="C287" s="139" t="s">
        <v>156</v>
      </c>
      <c r="D287" s="139" t="s">
        <v>169</v>
      </c>
      <c r="E287" s="139" t="s">
        <v>760</v>
      </c>
      <c r="F287" s="115">
        <v>316476.78000000003</v>
      </c>
      <c r="G287" s="116"/>
      <c r="H287" s="32"/>
    </row>
    <row r="288" spans="1:8">
      <c r="A288" s="139" t="s">
        <v>761</v>
      </c>
      <c r="B288" s="139" t="s">
        <v>762</v>
      </c>
      <c r="C288" s="139" t="s">
        <v>156</v>
      </c>
      <c r="D288" s="139" t="s">
        <v>157</v>
      </c>
      <c r="E288" s="139" t="s">
        <v>100</v>
      </c>
      <c r="F288" s="115">
        <v>0</v>
      </c>
      <c r="G288" s="116"/>
      <c r="H288" s="32">
        <f t="shared" si="4"/>
        <v>0</v>
      </c>
    </row>
    <row r="289" spans="1:8">
      <c r="A289" s="139" t="s">
        <v>763</v>
      </c>
      <c r="B289" s="139" t="s">
        <v>764</v>
      </c>
      <c r="C289" s="139" t="s">
        <v>156</v>
      </c>
      <c r="D289" s="139" t="s">
        <v>162</v>
      </c>
      <c r="E289" s="139" t="s">
        <v>100</v>
      </c>
      <c r="F289" s="115">
        <v>234326.15</v>
      </c>
      <c r="G289" s="116"/>
      <c r="H289" s="32">
        <f t="shared" si="4"/>
        <v>234326.15</v>
      </c>
    </row>
    <row r="290" spans="1:8">
      <c r="A290" s="139" t="s">
        <v>765</v>
      </c>
      <c r="B290" s="139" t="s">
        <v>766</v>
      </c>
      <c r="C290" s="139" t="s">
        <v>156</v>
      </c>
      <c r="D290" s="139" t="s">
        <v>162</v>
      </c>
      <c r="E290" s="139" t="s">
        <v>100</v>
      </c>
      <c r="F290" s="115">
        <v>0</v>
      </c>
      <c r="G290" s="116"/>
      <c r="H290" s="32">
        <f t="shared" si="4"/>
        <v>0</v>
      </c>
    </row>
    <row r="291" spans="1:8">
      <c r="A291" s="139" t="s">
        <v>767</v>
      </c>
      <c r="B291" s="139" t="s">
        <v>768</v>
      </c>
      <c r="C291" s="139" t="s">
        <v>156</v>
      </c>
      <c r="D291" s="139" t="s">
        <v>162</v>
      </c>
      <c r="E291" s="139" t="s">
        <v>100</v>
      </c>
      <c r="F291" s="115">
        <v>96556.92</v>
      </c>
      <c r="G291" s="116"/>
      <c r="H291" s="32">
        <f t="shared" si="4"/>
        <v>96556.92</v>
      </c>
    </row>
    <row r="292" spans="1:8">
      <c r="A292" s="139" t="s">
        <v>769</v>
      </c>
      <c r="B292" s="139" t="s">
        <v>770</v>
      </c>
      <c r="C292" s="139" t="s">
        <v>156</v>
      </c>
      <c r="D292" s="139" t="s">
        <v>162</v>
      </c>
      <c r="E292" s="139" t="s">
        <v>100</v>
      </c>
      <c r="F292" s="115">
        <v>2516.88</v>
      </c>
      <c r="G292" s="116"/>
      <c r="H292" s="32">
        <f t="shared" si="4"/>
        <v>2516.88</v>
      </c>
    </row>
    <row r="293" spans="1:8">
      <c r="A293" s="139" t="s">
        <v>771</v>
      </c>
      <c r="B293" s="139" t="s">
        <v>772</v>
      </c>
      <c r="C293" s="139" t="s">
        <v>156</v>
      </c>
      <c r="D293" s="139" t="s">
        <v>162</v>
      </c>
      <c r="E293" s="139" t="s">
        <v>100</v>
      </c>
      <c r="F293" s="115">
        <v>6170.19</v>
      </c>
      <c r="G293" s="116"/>
      <c r="H293" s="32">
        <f t="shared" si="4"/>
        <v>6170.19</v>
      </c>
    </row>
    <row r="294" spans="1:8">
      <c r="A294" s="139" t="s">
        <v>773</v>
      </c>
      <c r="B294" s="139" t="s">
        <v>774</v>
      </c>
      <c r="C294" s="139" t="s">
        <v>156</v>
      </c>
      <c r="D294" s="139" t="s">
        <v>162</v>
      </c>
      <c r="E294" s="139" t="s">
        <v>100</v>
      </c>
      <c r="F294" s="115">
        <v>-25960.04</v>
      </c>
      <c r="G294" s="116"/>
      <c r="H294" s="32">
        <f t="shared" si="4"/>
        <v>-25960.04</v>
      </c>
    </row>
    <row r="295" spans="1:8">
      <c r="A295" s="139" t="s">
        <v>775</v>
      </c>
      <c r="B295" s="139" t="s">
        <v>776</v>
      </c>
      <c r="C295" s="139" t="s">
        <v>156</v>
      </c>
      <c r="D295" s="139" t="s">
        <v>169</v>
      </c>
      <c r="E295" s="139" t="s">
        <v>777</v>
      </c>
      <c r="F295" s="115">
        <v>313610.09999999998</v>
      </c>
      <c r="G295" s="116"/>
      <c r="H295" s="32"/>
    </row>
    <row r="296" spans="1:8">
      <c r="A296" s="139" t="s">
        <v>778</v>
      </c>
      <c r="B296" s="139" t="s">
        <v>779</v>
      </c>
      <c r="C296" s="139" t="s">
        <v>156</v>
      </c>
      <c r="D296" s="139" t="s">
        <v>157</v>
      </c>
      <c r="E296" s="139" t="s">
        <v>100</v>
      </c>
      <c r="F296" s="115">
        <v>0</v>
      </c>
      <c r="G296" s="116"/>
      <c r="H296" s="32">
        <f t="shared" si="4"/>
        <v>0</v>
      </c>
    </row>
    <row r="297" spans="1:8">
      <c r="A297" s="139" t="s">
        <v>780</v>
      </c>
      <c r="B297" s="139" t="s">
        <v>781</v>
      </c>
      <c r="C297" s="139" t="s">
        <v>156</v>
      </c>
      <c r="D297" s="139" t="s">
        <v>162</v>
      </c>
      <c r="E297" s="139" t="s">
        <v>100</v>
      </c>
      <c r="F297" s="115">
        <v>127801.60000000001</v>
      </c>
      <c r="G297" s="116"/>
      <c r="H297" s="32">
        <f t="shared" si="4"/>
        <v>127801.60000000001</v>
      </c>
    </row>
    <row r="298" spans="1:8">
      <c r="A298" s="139" t="s">
        <v>782</v>
      </c>
      <c r="B298" s="139" t="s">
        <v>446</v>
      </c>
      <c r="C298" s="139" t="s">
        <v>156</v>
      </c>
      <c r="D298" s="139" t="s">
        <v>162</v>
      </c>
      <c r="E298" s="139" t="s">
        <v>100</v>
      </c>
      <c r="F298" s="115">
        <v>68260.100000000006</v>
      </c>
      <c r="G298" s="116"/>
      <c r="H298" s="32">
        <f t="shared" si="4"/>
        <v>68260.100000000006</v>
      </c>
    </row>
    <row r="299" spans="1:8">
      <c r="A299" s="139" t="s">
        <v>783</v>
      </c>
      <c r="B299" s="139" t="s">
        <v>784</v>
      </c>
      <c r="C299" s="139" t="s">
        <v>156</v>
      </c>
      <c r="D299" s="139" t="s">
        <v>162</v>
      </c>
      <c r="E299" s="139" t="s">
        <v>100</v>
      </c>
      <c r="F299" s="115">
        <v>0</v>
      </c>
      <c r="G299" s="116"/>
      <c r="H299" s="32">
        <f t="shared" si="4"/>
        <v>0</v>
      </c>
    </row>
    <row r="300" spans="1:8">
      <c r="A300" s="139" t="s">
        <v>785</v>
      </c>
      <c r="B300" s="139" t="s">
        <v>786</v>
      </c>
      <c r="C300" s="139" t="s">
        <v>156</v>
      </c>
      <c r="D300" s="139" t="s">
        <v>169</v>
      </c>
      <c r="E300" s="139" t="s">
        <v>787</v>
      </c>
      <c r="F300" s="115">
        <v>196061.7</v>
      </c>
      <c r="G300" s="116"/>
      <c r="H300" s="32"/>
    </row>
    <row r="301" spans="1:8">
      <c r="A301" s="139" t="s">
        <v>788</v>
      </c>
      <c r="B301" s="139" t="s">
        <v>789</v>
      </c>
      <c r="C301" s="139" t="s">
        <v>156</v>
      </c>
      <c r="D301" s="139" t="s">
        <v>157</v>
      </c>
      <c r="E301" s="139" t="s">
        <v>100</v>
      </c>
      <c r="F301" s="115">
        <v>0</v>
      </c>
      <c r="G301" s="116"/>
      <c r="H301" s="32">
        <f t="shared" si="4"/>
        <v>0</v>
      </c>
    </row>
    <row r="302" spans="1:8">
      <c r="A302" s="139" t="s">
        <v>790</v>
      </c>
      <c r="B302" s="139" t="s">
        <v>733</v>
      </c>
      <c r="C302" s="139" t="s">
        <v>156</v>
      </c>
      <c r="D302" s="139" t="s">
        <v>157</v>
      </c>
      <c r="E302" s="139" t="s">
        <v>100</v>
      </c>
      <c r="F302" s="115">
        <v>0</v>
      </c>
      <c r="G302" s="116"/>
      <c r="H302" s="32">
        <f t="shared" si="4"/>
        <v>0</v>
      </c>
    </row>
    <row r="303" spans="1:8">
      <c r="A303" s="139" t="s">
        <v>791</v>
      </c>
      <c r="B303" s="139" t="s">
        <v>792</v>
      </c>
      <c r="C303" s="139" t="s">
        <v>156</v>
      </c>
      <c r="D303" s="139" t="s">
        <v>162</v>
      </c>
      <c r="E303" s="139" t="s">
        <v>100</v>
      </c>
      <c r="F303" s="115">
        <v>13799.51</v>
      </c>
      <c r="G303" s="116"/>
      <c r="H303" s="32">
        <f t="shared" si="4"/>
        <v>13799.51</v>
      </c>
    </row>
    <row r="304" spans="1:8">
      <c r="A304" s="139" t="s">
        <v>793</v>
      </c>
      <c r="B304" s="139" t="s">
        <v>794</v>
      </c>
      <c r="C304" s="139" t="s">
        <v>156</v>
      </c>
      <c r="D304" s="139" t="s">
        <v>162</v>
      </c>
      <c r="E304" s="139" t="s">
        <v>100</v>
      </c>
      <c r="F304" s="115">
        <v>120345.15</v>
      </c>
      <c r="G304" s="116"/>
      <c r="H304" s="32">
        <f t="shared" si="4"/>
        <v>120345.15</v>
      </c>
    </row>
    <row r="305" spans="1:8">
      <c r="A305" s="139" t="s">
        <v>795</v>
      </c>
      <c r="B305" s="139" t="s">
        <v>796</v>
      </c>
      <c r="C305" s="139" t="s">
        <v>156</v>
      </c>
      <c r="D305" s="139" t="s">
        <v>162</v>
      </c>
      <c r="E305" s="139" t="s">
        <v>100</v>
      </c>
      <c r="F305" s="115">
        <v>255810.55</v>
      </c>
      <c r="G305" s="116">
        <v>-44416.17</v>
      </c>
      <c r="H305" s="32">
        <f t="shared" si="4"/>
        <v>211394.38</v>
      </c>
    </row>
    <row r="306" spans="1:8">
      <c r="A306" s="139" t="s">
        <v>797</v>
      </c>
      <c r="B306" s="139" t="s">
        <v>798</v>
      </c>
      <c r="C306" s="139" t="s">
        <v>156</v>
      </c>
      <c r="D306" s="139" t="s">
        <v>162</v>
      </c>
      <c r="E306" s="139" t="s">
        <v>100</v>
      </c>
      <c r="F306" s="115">
        <v>92892.75</v>
      </c>
      <c r="G306" s="116"/>
      <c r="H306" s="32">
        <f t="shared" si="4"/>
        <v>92892.75</v>
      </c>
    </row>
    <row r="307" spans="1:8">
      <c r="A307" s="139" t="s">
        <v>799</v>
      </c>
      <c r="B307" s="139" t="s">
        <v>800</v>
      </c>
      <c r="C307" s="139" t="s">
        <v>156</v>
      </c>
      <c r="D307" s="139" t="s">
        <v>162</v>
      </c>
      <c r="E307" s="139" t="s">
        <v>100</v>
      </c>
      <c r="F307" s="115">
        <v>92698.74</v>
      </c>
      <c r="G307" s="116"/>
      <c r="H307" s="32">
        <f t="shared" si="4"/>
        <v>92698.74</v>
      </c>
    </row>
    <row r="308" spans="1:8">
      <c r="A308" s="139" t="s">
        <v>801</v>
      </c>
      <c r="B308" s="139" t="s">
        <v>802</v>
      </c>
      <c r="C308" s="139" t="s">
        <v>156</v>
      </c>
      <c r="D308" s="139" t="s">
        <v>162</v>
      </c>
      <c r="E308" s="139" t="s">
        <v>100</v>
      </c>
      <c r="F308" s="115">
        <v>73797.899999999994</v>
      </c>
      <c r="G308" s="116"/>
      <c r="H308" s="32">
        <f t="shared" si="4"/>
        <v>73797.899999999994</v>
      </c>
    </row>
    <row r="309" spans="1:8">
      <c r="A309" s="139" t="s">
        <v>803</v>
      </c>
      <c r="B309" s="139" t="s">
        <v>804</v>
      </c>
      <c r="C309" s="139" t="s">
        <v>156</v>
      </c>
      <c r="D309" s="139" t="s">
        <v>162</v>
      </c>
      <c r="E309" s="139" t="s">
        <v>100</v>
      </c>
      <c r="F309" s="115">
        <v>440110.76</v>
      </c>
      <c r="G309" s="116">
        <v>-58885.42</v>
      </c>
      <c r="H309" s="32">
        <f t="shared" si="4"/>
        <v>381225.34</v>
      </c>
    </row>
    <row r="310" spans="1:8">
      <c r="A310" s="139" t="s">
        <v>805</v>
      </c>
      <c r="B310" s="139" t="s">
        <v>806</v>
      </c>
      <c r="C310" s="139" t="s">
        <v>156</v>
      </c>
      <c r="D310" s="139" t="s">
        <v>169</v>
      </c>
      <c r="E310" s="139" t="s">
        <v>807</v>
      </c>
      <c r="F310" s="115">
        <v>1089455.3600000001</v>
      </c>
      <c r="G310" s="116"/>
      <c r="H310" s="32"/>
    </row>
    <row r="311" spans="1:8">
      <c r="A311" s="139" t="s">
        <v>808</v>
      </c>
      <c r="B311" s="139" t="s">
        <v>735</v>
      </c>
      <c r="C311" s="139" t="s">
        <v>156</v>
      </c>
      <c r="D311" s="139" t="s">
        <v>157</v>
      </c>
      <c r="E311" s="139" t="s">
        <v>100</v>
      </c>
      <c r="F311" s="115">
        <v>0</v>
      </c>
      <c r="G311" s="116"/>
      <c r="H311" s="32">
        <f t="shared" si="4"/>
        <v>0</v>
      </c>
    </row>
    <row r="312" spans="1:8">
      <c r="A312" s="139" t="s">
        <v>809</v>
      </c>
      <c r="B312" s="139" t="s">
        <v>735</v>
      </c>
      <c r="C312" s="139" t="s">
        <v>156</v>
      </c>
      <c r="D312" s="139" t="s">
        <v>162</v>
      </c>
      <c r="E312" s="139" t="s">
        <v>100</v>
      </c>
      <c r="F312" s="115">
        <v>94484.9</v>
      </c>
      <c r="G312" s="116">
        <v>-50937.5</v>
      </c>
      <c r="H312" s="32">
        <f t="shared" si="4"/>
        <v>43547.399999999994</v>
      </c>
    </row>
    <row r="313" spans="1:8">
      <c r="A313" s="139" t="s">
        <v>810</v>
      </c>
      <c r="B313" s="139" t="s">
        <v>811</v>
      </c>
      <c r="C313" s="139" t="s">
        <v>156</v>
      </c>
      <c r="D313" s="139" t="s">
        <v>169</v>
      </c>
      <c r="E313" s="139" t="s">
        <v>812</v>
      </c>
      <c r="F313" s="115">
        <v>94484.9</v>
      </c>
      <c r="G313" s="116"/>
      <c r="H313" s="32"/>
    </row>
    <row r="314" spans="1:8">
      <c r="A314" s="139" t="s">
        <v>813</v>
      </c>
      <c r="B314" s="139" t="s">
        <v>814</v>
      </c>
      <c r="C314" s="139" t="s">
        <v>156</v>
      </c>
      <c r="D314" s="139" t="s">
        <v>169</v>
      </c>
      <c r="E314" s="139" t="s">
        <v>815</v>
      </c>
      <c r="F314" s="115">
        <v>1183940.26</v>
      </c>
      <c r="G314" s="116"/>
      <c r="H314" s="32"/>
    </row>
    <row r="315" spans="1:8">
      <c r="A315" s="139" t="s">
        <v>816</v>
      </c>
      <c r="B315" s="139" t="s">
        <v>817</v>
      </c>
      <c r="C315" s="139" t="s">
        <v>156</v>
      </c>
      <c r="D315" s="139" t="s">
        <v>157</v>
      </c>
      <c r="E315" s="139" t="s">
        <v>100</v>
      </c>
      <c r="F315" s="115">
        <v>0</v>
      </c>
      <c r="G315" s="116"/>
      <c r="H315" s="32">
        <f t="shared" si="4"/>
        <v>0</v>
      </c>
    </row>
    <row r="316" spans="1:8">
      <c r="A316" s="139" t="s">
        <v>818</v>
      </c>
      <c r="B316" s="139" t="s">
        <v>819</v>
      </c>
      <c r="C316" s="139" t="s">
        <v>156</v>
      </c>
      <c r="D316" s="139" t="s">
        <v>162</v>
      </c>
      <c r="E316" s="139" t="s">
        <v>100</v>
      </c>
      <c r="F316" s="115">
        <v>62500</v>
      </c>
      <c r="G316" s="116"/>
      <c r="H316" s="32">
        <f t="shared" si="4"/>
        <v>62500</v>
      </c>
    </row>
    <row r="317" spans="1:8">
      <c r="A317" s="139" t="s">
        <v>820</v>
      </c>
      <c r="B317" s="139" t="s">
        <v>821</v>
      </c>
      <c r="C317" s="139" t="s">
        <v>156</v>
      </c>
      <c r="D317" s="139" t="s">
        <v>169</v>
      </c>
      <c r="E317" s="139" t="s">
        <v>822</v>
      </c>
      <c r="F317" s="115">
        <v>62500</v>
      </c>
      <c r="G317" s="116"/>
      <c r="H317" s="32"/>
    </row>
    <row r="318" spans="1:8">
      <c r="A318" s="139" t="s">
        <v>823</v>
      </c>
      <c r="B318" s="139" t="s">
        <v>824</v>
      </c>
      <c r="C318" s="139" t="s">
        <v>156</v>
      </c>
      <c r="D318" s="139" t="s">
        <v>157</v>
      </c>
      <c r="E318" s="139" t="s">
        <v>100</v>
      </c>
      <c r="F318" s="115">
        <v>0</v>
      </c>
      <c r="G318" s="116"/>
      <c r="H318" s="32">
        <f t="shared" si="4"/>
        <v>0</v>
      </c>
    </row>
    <row r="319" spans="1:8">
      <c r="A319" s="139" t="s">
        <v>825</v>
      </c>
      <c r="B319" s="139" t="s">
        <v>826</v>
      </c>
      <c r="C319" s="139" t="s">
        <v>156</v>
      </c>
      <c r="D319" s="139" t="s">
        <v>162</v>
      </c>
      <c r="E319" s="139" t="s">
        <v>100</v>
      </c>
      <c r="F319" s="115">
        <v>33101.449999999997</v>
      </c>
      <c r="G319" s="116"/>
      <c r="H319" s="32">
        <f t="shared" si="4"/>
        <v>33101.449999999997</v>
      </c>
    </row>
    <row r="320" spans="1:8">
      <c r="A320" s="139" t="s">
        <v>827</v>
      </c>
      <c r="B320" s="139" t="s">
        <v>828</v>
      </c>
      <c r="C320" s="139" t="s">
        <v>156</v>
      </c>
      <c r="D320" s="139" t="s">
        <v>169</v>
      </c>
      <c r="E320" s="139" t="s">
        <v>829</v>
      </c>
      <c r="F320" s="115">
        <v>33101.449999999997</v>
      </c>
      <c r="G320" s="116"/>
      <c r="H320" s="32"/>
    </row>
    <row r="321" spans="1:8">
      <c r="A321" s="139" t="s">
        <v>830</v>
      </c>
      <c r="B321" s="139" t="s">
        <v>831</v>
      </c>
      <c r="C321" s="139" t="s">
        <v>156</v>
      </c>
      <c r="D321" s="139" t="s">
        <v>169</v>
      </c>
      <c r="E321" s="139" t="s">
        <v>832</v>
      </c>
      <c r="F321" s="115">
        <v>2105690.29</v>
      </c>
      <c r="G321" s="116"/>
      <c r="H321" s="32"/>
    </row>
    <row r="322" spans="1:8">
      <c r="A322" s="139" t="s">
        <v>833</v>
      </c>
      <c r="B322" s="139" t="s">
        <v>97</v>
      </c>
      <c r="C322" s="139" t="s">
        <v>156</v>
      </c>
      <c r="D322" s="139" t="s">
        <v>157</v>
      </c>
      <c r="E322" s="139" t="s">
        <v>100</v>
      </c>
      <c r="F322" s="115">
        <v>0</v>
      </c>
      <c r="G322" s="116"/>
      <c r="H322" s="32">
        <f t="shared" si="4"/>
        <v>0</v>
      </c>
    </row>
    <row r="323" spans="1:8">
      <c r="A323" s="139" t="s">
        <v>834</v>
      </c>
      <c r="B323" s="139" t="s">
        <v>835</v>
      </c>
      <c r="C323" s="139" t="s">
        <v>156</v>
      </c>
      <c r="D323" s="139" t="s">
        <v>162</v>
      </c>
      <c r="E323" s="139" t="s">
        <v>100</v>
      </c>
      <c r="F323" s="115">
        <v>280.18</v>
      </c>
      <c r="G323" s="116"/>
      <c r="H323" s="32">
        <f t="shared" si="4"/>
        <v>280.18</v>
      </c>
    </row>
    <row r="324" spans="1:8">
      <c r="A324" s="139" t="s">
        <v>836</v>
      </c>
      <c r="B324" s="139" t="s">
        <v>837</v>
      </c>
      <c r="C324" s="139" t="s">
        <v>156</v>
      </c>
      <c r="D324" s="139" t="s">
        <v>162</v>
      </c>
      <c r="E324" s="139" t="s">
        <v>100</v>
      </c>
      <c r="F324" s="115">
        <v>25076.22</v>
      </c>
      <c r="G324" s="116"/>
      <c r="H324" s="32">
        <f t="shared" si="4"/>
        <v>25076.22</v>
      </c>
    </row>
    <row r="325" spans="1:8">
      <c r="A325" s="139" t="s">
        <v>838</v>
      </c>
      <c r="B325" s="139" t="s">
        <v>839</v>
      </c>
      <c r="C325" s="139" t="s">
        <v>156</v>
      </c>
      <c r="D325" s="139" t="s">
        <v>169</v>
      </c>
      <c r="E325" s="139" t="s">
        <v>840</v>
      </c>
      <c r="F325" s="115">
        <v>25356.400000000001</v>
      </c>
      <c r="G325" s="116"/>
      <c r="H325" s="32"/>
    </row>
    <row r="326" spans="1:8">
      <c r="A326" s="139" t="s">
        <v>841</v>
      </c>
      <c r="B326" s="139" t="s">
        <v>842</v>
      </c>
      <c r="C326" s="139" t="s">
        <v>156</v>
      </c>
      <c r="D326" s="139" t="s">
        <v>169</v>
      </c>
      <c r="E326" s="139" t="s">
        <v>843</v>
      </c>
      <c r="F326" s="115">
        <v>16347541.02</v>
      </c>
      <c r="G326" s="116"/>
      <c r="H326" s="32"/>
    </row>
    <row r="327" spans="1:8">
      <c r="A327" s="139" t="s">
        <v>844</v>
      </c>
      <c r="B327" s="139" t="s">
        <v>845</v>
      </c>
      <c r="C327" s="139" t="s">
        <v>156</v>
      </c>
      <c r="D327" s="139" t="s">
        <v>157</v>
      </c>
      <c r="E327" s="139" t="s">
        <v>100</v>
      </c>
      <c r="F327" s="115">
        <v>0</v>
      </c>
      <c r="G327" s="116"/>
      <c r="H327" s="32"/>
    </row>
    <row r="328" spans="1:8">
      <c r="A328" s="139" t="s">
        <v>846</v>
      </c>
      <c r="B328" s="139" t="s">
        <v>847</v>
      </c>
      <c r="C328" s="139" t="s">
        <v>156</v>
      </c>
      <c r="D328" s="139" t="s">
        <v>162</v>
      </c>
      <c r="E328" s="139" t="s">
        <v>100</v>
      </c>
      <c r="F328" s="115">
        <v>1588099.48</v>
      </c>
      <c r="G328" s="116"/>
      <c r="H328" s="32">
        <f t="shared" ref="H328:H334" si="5">SUM(F328:G328)</f>
        <v>1588099.48</v>
      </c>
    </row>
    <row r="329" spans="1:8">
      <c r="A329" s="139" t="s">
        <v>848</v>
      </c>
      <c r="B329" s="139" t="s">
        <v>849</v>
      </c>
      <c r="C329" s="139" t="s">
        <v>156</v>
      </c>
      <c r="D329" s="139" t="s">
        <v>162</v>
      </c>
      <c r="E329" s="139" t="s">
        <v>100</v>
      </c>
      <c r="F329" s="115">
        <v>0</v>
      </c>
      <c r="G329" s="116"/>
      <c r="H329" s="32">
        <f t="shared" si="5"/>
        <v>0</v>
      </c>
    </row>
    <row r="330" spans="1:8">
      <c r="A330" s="139" t="s">
        <v>850</v>
      </c>
      <c r="B330" s="139" t="s">
        <v>851</v>
      </c>
      <c r="C330" s="139" t="s">
        <v>156</v>
      </c>
      <c r="D330" s="139" t="s">
        <v>169</v>
      </c>
      <c r="E330" s="139" t="s">
        <v>852</v>
      </c>
      <c r="F330" s="115">
        <v>1588099.48</v>
      </c>
      <c r="G330" s="116"/>
      <c r="H330" s="32"/>
    </row>
    <row r="331" spans="1:8">
      <c r="A331" s="139" t="s">
        <v>853</v>
      </c>
      <c r="B331" s="139" t="s">
        <v>854</v>
      </c>
      <c r="C331" s="139" t="s">
        <v>156</v>
      </c>
      <c r="D331" s="139" t="s">
        <v>157</v>
      </c>
      <c r="E331" s="139" t="s">
        <v>100</v>
      </c>
      <c r="F331" s="115">
        <v>0</v>
      </c>
      <c r="G331" s="116"/>
      <c r="H331" s="32">
        <f t="shared" si="5"/>
        <v>0</v>
      </c>
    </row>
    <row r="332" spans="1:8">
      <c r="A332" s="139" t="s">
        <v>855</v>
      </c>
      <c r="B332" s="139" t="s">
        <v>856</v>
      </c>
      <c r="C332" s="139" t="s">
        <v>156</v>
      </c>
      <c r="D332" s="139" t="s">
        <v>162</v>
      </c>
      <c r="E332" s="139" t="s">
        <v>100</v>
      </c>
      <c r="F332" s="115">
        <v>0</v>
      </c>
      <c r="G332" s="116"/>
      <c r="H332" s="32">
        <f t="shared" si="5"/>
        <v>0</v>
      </c>
    </row>
    <row r="333" spans="1:8">
      <c r="A333" s="139" t="s">
        <v>857</v>
      </c>
      <c r="B333" s="139" t="s">
        <v>2170</v>
      </c>
      <c r="C333" s="139" t="s">
        <v>156</v>
      </c>
      <c r="D333" s="139" t="s">
        <v>162</v>
      </c>
      <c r="E333" s="139" t="s">
        <v>100</v>
      </c>
      <c r="F333" s="115">
        <v>0</v>
      </c>
      <c r="G333" s="116"/>
      <c r="H333" s="32">
        <f t="shared" si="5"/>
        <v>0</v>
      </c>
    </row>
    <row r="334" spans="1:8">
      <c r="A334" s="139" t="s">
        <v>859</v>
      </c>
      <c r="B334" s="139" t="s">
        <v>860</v>
      </c>
      <c r="C334" s="139" t="s">
        <v>156</v>
      </c>
      <c r="D334" s="139" t="s">
        <v>162</v>
      </c>
      <c r="E334" s="139" t="s">
        <v>100</v>
      </c>
      <c r="F334" s="115">
        <v>0</v>
      </c>
      <c r="G334" s="116"/>
      <c r="H334" s="32">
        <f t="shared" si="5"/>
        <v>0</v>
      </c>
    </row>
    <row r="335" spans="1:8">
      <c r="A335" s="139" t="s">
        <v>861</v>
      </c>
      <c r="B335" s="139" t="s">
        <v>862</v>
      </c>
      <c r="C335" s="139" t="s">
        <v>156</v>
      </c>
      <c r="D335" s="139" t="s">
        <v>598</v>
      </c>
      <c r="E335" s="139" t="s">
        <v>863</v>
      </c>
      <c r="F335" s="115">
        <v>1588099.48</v>
      </c>
      <c r="G335" s="116"/>
      <c r="H335" s="32"/>
    </row>
    <row r="336" spans="1:8">
      <c r="A336" s="139" t="s">
        <v>864</v>
      </c>
      <c r="B336" s="139" t="s">
        <v>865</v>
      </c>
      <c r="C336" s="139" t="s">
        <v>156</v>
      </c>
      <c r="D336" s="139" t="s">
        <v>598</v>
      </c>
      <c r="E336" s="139" t="s">
        <v>866</v>
      </c>
      <c r="F336" s="115">
        <v>17935640.5</v>
      </c>
      <c r="G336" s="116"/>
      <c r="H336" s="32"/>
    </row>
    <row r="337" spans="1:8">
      <c r="A337" s="139" t="s">
        <v>867</v>
      </c>
      <c r="B337" s="139" t="s">
        <v>868</v>
      </c>
      <c r="C337" s="139" t="s">
        <v>156</v>
      </c>
      <c r="D337" s="139" t="s">
        <v>598</v>
      </c>
      <c r="E337" s="139" t="s">
        <v>869</v>
      </c>
      <c r="F337" s="115">
        <v>307940.73</v>
      </c>
      <c r="G337" s="116"/>
      <c r="H337" s="32"/>
    </row>
    <row r="338" spans="1:8">
      <c r="A338" s="139" t="s">
        <v>870</v>
      </c>
      <c r="B338" s="139" t="s">
        <v>871</v>
      </c>
      <c r="C338" s="139" t="s">
        <v>872</v>
      </c>
      <c r="D338" s="139" t="s">
        <v>157</v>
      </c>
      <c r="E338" s="139" t="s">
        <v>100</v>
      </c>
      <c r="F338" s="118">
        <v>0</v>
      </c>
      <c r="G338" s="119"/>
      <c r="H338" s="120"/>
    </row>
    <row r="339" spans="1:8">
      <c r="A339" s="139" t="s">
        <v>873</v>
      </c>
      <c r="B339" s="139" t="s">
        <v>874</v>
      </c>
      <c r="C339" s="139" t="s">
        <v>872</v>
      </c>
      <c r="D339" s="139" t="s">
        <v>157</v>
      </c>
      <c r="E339" s="139" t="s">
        <v>100</v>
      </c>
      <c r="F339" s="118">
        <v>0</v>
      </c>
      <c r="G339" s="119"/>
      <c r="H339" s="120"/>
    </row>
    <row r="340" spans="1:8">
      <c r="A340" s="139" t="s">
        <v>875</v>
      </c>
      <c r="B340" s="139" t="s">
        <v>876</v>
      </c>
      <c r="C340" s="139" t="s">
        <v>872</v>
      </c>
      <c r="D340" s="139" t="s">
        <v>157</v>
      </c>
      <c r="E340" s="139" t="s">
        <v>100</v>
      </c>
      <c r="F340" s="118">
        <v>0</v>
      </c>
      <c r="G340" s="119"/>
      <c r="H340" s="120"/>
    </row>
    <row r="341" spans="1:8">
      <c r="A341" s="139" t="s">
        <v>877</v>
      </c>
      <c r="B341" s="139" t="s">
        <v>878</v>
      </c>
      <c r="C341" s="139" t="s">
        <v>872</v>
      </c>
      <c r="D341" s="139" t="s">
        <v>162</v>
      </c>
      <c r="E341" s="139" t="s">
        <v>100</v>
      </c>
      <c r="F341" s="118">
        <v>28500000</v>
      </c>
      <c r="G341" s="119"/>
      <c r="H341" s="120">
        <f>SUM(F341:G341)</f>
        <v>28500000</v>
      </c>
    </row>
    <row r="342" spans="1:8">
      <c r="A342" s="139" t="s">
        <v>879</v>
      </c>
      <c r="B342" s="139" t="s">
        <v>880</v>
      </c>
      <c r="C342" s="139" t="s">
        <v>872</v>
      </c>
      <c r="D342" s="139" t="s">
        <v>162</v>
      </c>
      <c r="E342" s="139" t="s">
        <v>100</v>
      </c>
      <c r="F342" s="118">
        <v>22107400</v>
      </c>
      <c r="G342" s="119"/>
      <c r="H342" s="120">
        <f t="shared" ref="H342:H399" si="6">SUM(F342:G342)</f>
        <v>22107400</v>
      </c>
    </row>
    <row r="343" spans="1:8">
      <c r="A343" s="139" t="s">
        <v>881</v>
      </c>
      <c r="B343" s="139" t="s">
        <v>882</v>
      </c>
      <c r="C343" s="139" t="s">
        <v>872</v>
      </c>
      <c r="D343" s="139" t="s">
        <v>162</v>
      </c>
      <c r="E343" s="139" t="s">
        <v>100</v>
      </c>
      <c r="F343" s="118">
        <v>4050000</v>
      </c>
      <c r="G343" s="119"/>
      <c r="H343" s="120">
        <f t="shared" si="6"/>
        <v>4050000</v>
      </c>
    </row>
    <row r="344" spans="1:8">
      <c r="A344" s="139" t="s">
        <v>883</v>
      </c>
      <c r="B344" s="139" t="s">
        <v>884</v>
      </c>
      <c r="C344" s="139" t="s">
        <v>872</v>
      </c>
      <c r="D344" s="139" t="s">
        <v>162</v>
      </c>
      <c r="E344" s="139" t="s">
        <v>100</v>
      </c>
      <c r="F344" s="118">
        <v>107934</v>
      </c>
      <c r="G344" s="119"/>
      <c r="H344" s="120">
        <f t="shared" si="6"/>
        <v>107934</v>
      </c>
    </row>
    <row r="345" spans="1:8">
      <c r="A345" s="139" t="s">
        <v>885</v>
      </c>
      <c r="B345" s="139" t="s">
        <v>886</v>
      </c>
      <c r="C345" s="139" t="s">
        <v>872</v>
      </c>
      <c r="D345" s="139" t="s">
        <v>162</v>
      </c>
      <c r="E345" s="139" t="s">
        <v>100</v>
      </c>
      <c r="F345" s="118">
        <v>140400</v>
      </c>
      <c r="G345" s="119"/>
      <c r="H345" s="120">
        <f t="shared" si="6"/>
        <v>140400</v>
      </c>
    </row>
    <row r="346" spans="1:8">
      <c r="A346" s="139" t="s">
        <v>887</v>
      </c>
      <c r="B346" s="139" t="s">
        <v>888</v>
      </c>
      <c r="C346" s="139" t="s">
        <v>872</v>
      </c>
      <c r="D346" s="139" t="s">
        <v>162</v>
      </c>
      <c r="E346" s="139" t="s">
        <v>100</v>
      </c>
      <c r="F346" s="118">
        <v>200000</v>
      </c>
      <c r="G346" s="119"/>
      <c r="H346" s="120">
        <f t="shared" si="6"/>
        <v>200000</v>
      </c>
    </row>
    <row r="347" spans="1:8">
      <c r="A347" s="139" t="s">
        <v>889</v>
      </c>
      <c r="B347" s="139" t="s">
        <v>890</v>
      </c>
      <c r="C347" s="139" t="s">
        <v>872</v>
      </c>
      <c r="D347" s="139" t="s">
        <v>169</v>
      </c>
      <c r="E347" s="139" t="s">
        <v>891</v>
      </c>
      <c r="F347" s="118">
        <v>55105734</v>
      </c>
      <c r="G347" s="119"/>
      <c r="H347" s="120"/>
    </row>
    <row r="348" spans="1:8">
      <c r="A348" s="139" t="s">
        <v>892</v>
      </c>
      <c r="B348" s="139" t="s">
        <v>893</v>
      </c>
      <c r="C348" s="139" t="s">
        <v>872</v>
      </c>
      <c r="D348" s="139" t="s">
        <v>157</v>
      </c>
      <c r="E348" s="139" t="s">
        <v>100</v>
      </c>
      <c r="F348" s="118">
        <v>0</v>
      </c>
      <c r="G348" s="119"/>
      <c r="H348" s="120">
        <f t="shared" si="6"/>
        <v>0</v>
      </c>
    </row>
    <row r="349" spans="1:8">
      <c r="A349" s="139" t="s">
        <v>894</v>
      </c>
      <c r="B349" s="139" t="s">
        <v>895</v>
      </c>
      <c r="C349" s="139" t="s">
        <v>872</v>
      </c>
      <c r="D349" s="139" t="s">
        <v>162</v>
      </c>
      <c r="E349" s="139" t="s">
        <v>100</v>
      </c>
      <c r="F349" s="118">
        <v>0</v>
      </c>
      <c r="G349" s="119"/>
      <c r="H349" s="120">
        <f t="shared" si="6"/>
        <v>0</v>
      </c>
    </row>
    <row r="350" spans="1:8">
      <c r="A350" s="139" t="s">
        <v>896</v>
      </c>
      <c r="B350" s="139" t="s">
        <v>897</v>
      </c>
      <c r="C350" s="139" t="s">
        <v>872</v>
      </c>
      <c r="D350" s="139" t="s">
        <v>169</v>
      </c>
      <c r="E350" s="139" t="s">
        <v>898</v>
      </c>
      <c r="F350" s="118">
        <v>0</v>
      </c>
      <c r="G350" s="119"/>
      <c r="H350" s="120"/>
    </row>
    <row r="351" spans="1:8">
      <c r="A351" s="139" t="s">
        <v>899</v>
      </c>
      <c r="B351" s="139" t="s">
        <v>900</v>
      </c>
      <c r="C351" s="139" t="s">
        <v>872</v>
      </c>
      <c r="D351" s="139" t="s">
        <v>157</v>
      </c>
      <c r="E351" s="139" t="s">
        <v>100</v>
      </c>
      <c r="F351" s="118">
        <v>0</v>
      </c>
      <c r="G351" s="119"/>
      <c r="H351" s="120"/>
    </row>
    <row r="352" spans="1:8">
      <c r="A352" s="139" t="s">
        <v>901</v>
      </c>
      <c r="B352" s="139" t="s">
        <v>902</v>
      </c>
      <c r="C352" s="139" t="s">
        <v>872</v>
      </c>
      <c r="D352" s="139" t="s">
        <v>162</v>
      </c>
      <c r="E352" s="139" t="s">
        <v>100</v>
      </c>
      <c r="F352" s="118">
        <v>3366400</v>
      </c>
      <c r="G352" s="119"/>
      <c r="H352" s="120">
        <f t="shared" si="6"/>
        <v>3366400</v>
      </c>
    </row>
    <row r="353" spans="1:11">
      <c r="A353" s="139" t="s">
        <v>903</v>
      </c>
      <c r="B353" s="139" t="s">
        <v>2147</v>
      </c>
      <c r="C353" s="139" t="s">
        <v>872</v>
      </c>
      <c r="D353" s="139" t="s">
        <v>162</v>
      </c>
      <c r="E353" s="139" t="s">
        <v>100</v>
      </c>
      <c r="F353" s="118">
        <v>188150</v>
      </c>
      <c r="G353" s="119"/>
      <c r="H353" s="120">
        <f t="shared" si="6"/>
        <v>188150</v>
      </c>
    </row>
    <row r="354" spans="1:11">
      <c r="A354" s="139" t="s">
        <v>905</v>
      </c>
      <c r="B354" s="139" t="s">
        <v>906</v>
      </c>
      <c r="C354" s="139" t="s">
        <v>872</v>
      </c>
      <c r="D354" s="139" t="s">
        <v>162</v>
      </c>
      <c r="E354" s="139" t="s">
        <v>100</v>
      </c>
      <c r="F354" s="118">
        <v>8250</v>
      </c>
      <c r="G354" s="119"/>
      <c r="H354" s="120">
        <f t="shared" si="6"/>
        <v>8250</v>
      </c>
    </row>
    <row r="355" spans="1:11">
      <c r="A355" s="139" t="s">
        <v>907</v>
      </c>
      <c r="B355" s="139" t="s">
        <v>908</v>
      </c>
      <c r="C355" s="139" t="s">
        <v>872</v>
      </c>
      <c r="D355" s="139" t="s">
        <v>162</v>
      </c>
      <c r="E355" s="139" t="s">
        <v>100</v>
      </c>
      <c r="F355" s="118">
        <v>4239356.5</v>
      </c>
      <c r="G355" s="119">
        <f>-746479.5-6787-500000</f>
        <v>-1253266.5</v>
      </c>
      <c r="H355" s="120">
        <f t="shared" si="6"/>
        <v>2986090</v>
      </c>
      <c r="I355">
        <v>-746479.5</v>
      </c>
      <c r="J355">
        <v>4232569</v>
      </c>
      <c r="K355" s="1">
        <f>+J355-F355</f>
        <v>-6787.5</v>
      </c>
    </row>
    <row r="356" spans="1:11">
      <c r="A356" s="139" t="s">
        <v>909</v>
      </c>
      <c r="B356" s="139" t="s">
        <v>910</v>
      </c>
      <c r="C356" s="139" t="s">
        <v>872</v>
      </c>
      <c r="D356" s="139" t="s">
        <v>162</v>
      </c>
      <c r="E356" s="139" t="s">
        <v>100</v>
      </c>
      <c r="F356" s="118">
        <v>52639.5</v>
      </c>
      <c r="G356" s="119">
        <f>72.5-20053+6787</f>
        <v>-13193.5</v>
      </c>
      <c r="H356" s="120">
        <f>+F356+G356</f>
        <v>39446</v>
      </c>
    </row>
    <row r="357" spans="1:11">
      <c r="A357" s="139" t="s">
        <v>911</v>
      </c>
      <c r="B357" s="139" t="s">
        <v>912</v>
      </c>
      <c r="C357" s="139" t="s">
        <v>872</v>
      </c>
      <c r="D357" s="139" t="s">
        <v>162</v>
      </c>
      <c r="E357" s="139" t="s">
        <v>100</v>
      </c>
      <c r="F357" s="118">
        <v>1000000</v>
      </c>
      <c r="G357" s="119"/>
      <c r="H357" s="120">
        <f t="shared" si="6"/>
        <v>1000000</v>
      </c>
    </row>
    <row r="358" spans="1:11">
      <c r="A358" s="139" t="s">
        <v>913</v>
      </c>
      <c r="B358" s="139" t="s">
        <v>914</v>
      </c>
      <c r="C358" s="139" t="s">
        <v>872</v>
      </c>
      <c r="D358" s="139" t="s">
        <v>169</v>
      </c>
      <c r="E358" s="139" t="s">
        <v>915</v>
      </c>
      <c r="F358" s="118">
        <v>8854796</v>
      </c>
      <c r="G358" s="119"/>
      <c r="H358" s="120"/>
    </row>
    <row r="359" spans="1:11">
      <c r="A359" s="139" t="s">
        <v>916</v>
      </c>
      <c r="B359" s="139" t="s">
        <v>917</v>
      </c>
      <c r="C359" s="139" t="s">
        <v>872</v>
      </c>
      <c r="D359" s="139" t="s">
        <v>169</v>
      </c>
      <c r="E359" s="139" t="s">
        <v>918</v>
      </c>
      <c r="F359" s="118">
        <v>63960530</v>
      </c>
      <c r="G359" s="119"/>
      <c r="H359" s="120"/>
    </row>
    <row r="360" spans="1:11">
      <c r="A360" s="139" t="s">
        <v>919</v>
      </c>
      <c r="B360" s="139" t="s">
        <v>920</v>
      </c>
      <c r="C360" s="139" t="s">
        <v>872</v>
      </c>
      <c r="D360" s="139" t="s">
        <v>157</v>
      </c>
      <c r="E360" s="139" t="s">
        <v>100</v>
      </c>
      <c r="F360" s="118">
        <v>0</v>
      </c>
      <c r="G360" s="119"/>
      <c r="H360" s="120"/>
    </row>
    <row r="361" spans="1:11">
      <c r="A361" s="139" t="s">
        <v>921</v>
      </c>
      <c r="B361" s="139" t="s">
        <v>922</v>
      </c>
      <c r="C361" s="139" t="s">
        <v>872</v>
      </c>
      <c r="D361" s="139" t="s">
        <v>157</v>
      </c>
      <c r="E361" s="139" t="s">
        <v>100</v>
      </c>
      <c r="F361" s="118">
        <v>0</v>
      </c>
      <c r="G361" s="119"/>
      <c r="H361" s="120"/>
    </row>
    <row r="362" spans="1:11">
      <c r="A362" s="139" t="s">
        <v>923</v>
      </c>
      <c r="B362" s="139" t="s">
        <v>924</v>
      </c>
      <c r="C362" s="139" t="s">
        <v>872</v>
      </c>
      <c r="D362" s="139" t="s">
        <v>162</v>
      </c>
      <c r="E362" s="139" t="s">
        <v>100</v>
      </c>
      <c r="F362" s="118">
        <v>197389.27</v>
      </c>
      <c r="G362" s="119">
        <f>3273.48+721.89+223.21+21641.45</f>
        <v>25860.03</v>
      </c>
      <c r="H362" s="120">
        <f t="shared" si="6"/>
        <v>223249.3</v>
      </c>
    </row>
    <row r="363" spans="1:11">
      <c r="A363" s="139" t="s">
        <v>925</v>
      </c>
      <c r="B363" s="139" t="s">
        <v>926</v>
      </c>
      <c r="C363" s="139" t="s">
        <v>872</v>
      </c>
      <c r="D363" s="139" t="s">
        <v>162</v>
      </c>
      <c r="E363" s="139" t="s">
        <v>100</v>
      </c>
      <c r="F363" s="118">
        <v>0</v>
      </c>
      <c r="G363" s="119"/>
      <c r="H363" s="120">
        <f t="shared" si="6"/>
        <v>0</v>
      </c>
    </row>
    <row r="364" spans="1:11">
      <c r="A364" s="139" t="s">
        <v>927</v>
      </c>
      <c r="B364" s="139" t="s">
        <v>928</v>
      </c>
      <c r="C364" s="139" t="s">
        <v>872</v>
      </c>
      <c r="D364" s="139" t="s">
        <v>162</v>
      </c>
      <c r="E364" s="139" t="s">
        <v>100</v>
      </c>
      <c r="F364" s="118">
        <v>0</v>
      </c>
      <c r="G364" s="119"/>
      <c r="H364" s="120">
        <f t="shared" si="6"/>
        <v>0</v>
      </c>
    </row>
    <row r="365" spans="1:11">
      <c r="A365" s="139" t="s">
        <v>929</v>
      </c>
      <c r="B365" s="139" t="s">
        <v>930</v>
      </c>
      <c r="C365" s="139" t="s">
        <v>872</v>
      </c>
      <c r="D365" s="139" t="s">
        <v>162</v>
      </c>
      <c r="E365" s="139" t="s">
        <v>100</v>
      </c>
      <c r="F365" s="118">
        <v>0</v>
      </c>
      <c r="G365" s="119"/>
      <c r="H365" s="120">
        <f t="shared" si="6"/>
        <v>0</v>
      </c>
    </row>
    <row r="366" spans="1:11">
      <c r="A366" s="139" t="s">
        <v>931</v>
      </c>
      <c r="B366" s="139" t="s">
        <v>932</v>
      </c>
      <c r="C366" s="139" t="s">
        <v>872</v>
      </c>
      <c r="D366" s="139" t="s">
        <v>162</v>
      </c>
      <c r="E366" s="139" t="s">
        <v>100</v>
      </c>
      <c r="F366" s="118">
        <v>410965.24</v>
      </c>
      <c r="G366" s="119"/>
      <c r="H366" s="120">
        <f t="shared" si="6"/>
        <v>410965.24</v>
      </c>
    </row>
    <row r="367" spans="1:11">
      <c r="A367" s="139" t="s">
        <v>933</v>
      </c>
      <c r="B367" s="139" t="s">
        <v>934</v>
      </c>
      <c r="C367" s="139" t="s">
        <v>872</v>
      </c>
      <c r="D367" s="139" t="s">
        <v>162</v>
      </c>
      <c r="E367" s="139" t="s">
        <v>100</v>
      </c>
      <c r="F367" s="118">
        <v>0</v>
      </c>
      <c r="G367" s="119"/>
      <c r="H367" s="120">
        <f t="shared" si="6"/>
        <v>0</v>
      </c>
    </row>
    <row r="368" spans="1:11">
      <c r="A368" s="139" t="s">
        <v>935</v>
      </c>
      <c r="B368" s="139" t="s">
        <v>2171</v>
      </c>
      <c r="C368" s="139" t="s">
        <v>872</v>
      </c>
      <c r="D368" s="139" t="s">
        <v>162</v>
      </c>
      <c r="E368" s="139" t="s">
        <v>100</v>
      </c>
      <c r="F368" s="118">
        <v>0</v>
      </c>
      <c r="G368" s="119"/>
      <c r="H368" s="120">
        <f t="shared" si="6"/>
        <v>0</v>
      </c>
    </row>
    <row r="369" spans="1:8">
      <c r="A369" s="139" t="s">
        <v>937</v>
      </c>
      <c r="B369" s="139" t="s">
        <v>938</v>
      </c>
      <c r="C369" s="139" t="s">
        <v>872</v>
      </c>
      <c r="D369" s="139" t="s">
        <v>169</v>
      </c>
      <c r="E369" s="139" t="s">
        <v>939</v>
      </c>
      <c r="F369" s="118">
        <v>608354.51</v>
      </c>
      <c r="G369" s="119"/>
      <c r="H369" s="120"/>
    </row>
    <row r="370" spans="1:8">
      <c r="A370" s="139" t="s">
        <v>940</v>
      </c>
      <c r="B370" s="139" t="s">
        <v>941</v>
      </c>
      <c r="C370" s="139" t="s">
        <v>872</v>
      </c>
      <c r="D370" s="139" t="s">
        <v>157</v>
      </c>
      <c r="E370" s="139" t="s">
        <v>100</v>
      </c>
      <c r="F370" s="118">
        <v>0</v>
      </c>
      <c r="G370" s="119"/>
      <c r="H370" s="120"/>
    </row>
    <row r="371" spans="1:8">
      <c r="A371" s="139" t="s">
        <v>942</v>
      </c>
      <c r="B371" s="139" t="s">
        <v>943</v>
      </c>
      <c r="C371" s="139" t="s">
        <v>872</v>
      </c>
      <c r="D371" s="139" t="s">
        <v>162</v>
      </c>
      <c r="E371" s="139" t="s">
        <v>100</v>
      </c>
      <c r="F371" s="118">
        <v>29500</v>
      </c>
      <c r="G371" s="119"/>
      <c r="H371" s="120">
        <f t="shared" si="6"/>
        <v>29500</v>
      </c>
    </row>
    <row r="372" spans="1:8">
      <c r="A372" s="139" t="s">
        <v>944</v>
      </c>
      <c r="B372" s="139" t="s">
        <v>945</v>
      </c>
      <c r="C372" s="139" t="s">
        <v>872</v>
      </c>
      <c r="D372" s="139" t="s">
        <v>162</v>
      </c>
      <c r="E372" s="139" t="s">
        <v>100</v>
      </c>
      <c r="F372" s="118">
        <v>20000</v>
      </c>
      <c r="G372" s="119"/>
      <c r="H372" s="120">
        <f t="shared" si="6"/>
        <v>20000</v>
      </c>
    </row>
    <row r="373" spans="1:8">
      <c r="A373" s="139" t="s">
        <v>946</v>
      </c>
      <c r="B373" s="139" t="s">
        <v>947</v>
      </c>
      <c r="C373" s="139" t="s">
        <v>872</v>
      </c>
      <c r="D373" s="139" t="s">
        <v>162</v>
      </c>
      <c r="E373" s="139" t="s">
        <v>100</v>
      </c>
      <c r="F373" s="118">
        <v>0</v>
      </c>
      <c r="G373" s="119"/>
      <c r="H373" s="120">
        <f t="shared" si="6"/>
        <v>0</v>
      </c>
    </row>
    <row r="374" spans="1:8">
      <c r="A374" s="139" t="s">
        <v>948</v>
      </c>
      <c r="B374" s="139" t="s">
        <v>949</v>
      </c>
      <c r="C374" s="139" t="s">
        <v>872</v>
      </c>
      <c r="D374" s="139" t="s">
        <v>162</v>
      </c>
      <c r="E374" s="139" t="s">
        <v>100</v>
      </c>
      <c r="F374" s="118">
        <v>0</v>
      </c>
      <c r="G374" s="119"/>
      <c r="H374" s="120">
        <f t="shared" si="6"/>
        <v>0</v>
      </c>
    </row>
    <row r="375" spans="1:8">
      <c r="A375" s="139" t="s">
        <v>950</v>
      </c>
      <c r="B375" s="139" t="s">
        <v>951</v>
      </c>
      <c r="C375" s="139" t="s">
        <v>872</v>
      </c>
      <c r="D375" s="139" t="s">
        <v>162</v>
      </c>
      <c r="E375" s="139" t="s">
        <v>100</v>
      </c>
      <c r="F375" s="118">
        <v>0</v>
      </c>
      <c r="G375" s="119"/>
      <c r="H375" s="120">
        <f t="shared" si="6"/>
        <v>0</v>
      </c>
    </row>
    <row r="376" spans="1:8">
      <c r="A376" s="139" t="s">
        <v>952</v>
      </c>
      <c r="B376" s="139" t="s">
        <v>953</v>
      </c>
      <c r="C376" s="139" t="s">
        <v>872</v>
      </c>
      <c r="D376" s="139" t="s">
        <v>169</v>
      </c>
      <c r="E376" s="139" t="s">
        <v>954</v>
      </c>
      <c r="F376" s="118">
        <v>49500</v>
      </c>
      <c r="G376" s="119"/>
      <c r="H376" s="120"/>
    </row>
    <row r="377" spans="1:8">
      <c r="A377" s="139" t="s">
        <v>955</v>
      </c>
      <c r="B377" s="139" t="s">
        <v>956</v>
      </c>
      <c r="C377" s="139" t="s">
        <v>872</v>
      </c>
      <c r="D377" s="139" t="s">
        <v>157</v>
      </c>
      <c r="E377" s="139" t="s">
        <v>100</v>
      </c>
      <c r="F377" s="118">
        <v>0</v>
      </c>
      <c r="G377" s="119"/>
      <c r="H377" s="120"/>
    </row>
    <row r="378" spans="1:8">
      <c r="A378" s="139" t="s">
        <v>957</v>
      </c>
      <c r="B378" s="139" t="s">
        <v>958</v>
      </c>
      <c r="C378" s="139" t="s">
        <v>872</v>
      </c>
      <c r="D378" s="139" t="s">
        <v>162</v>
      </c>
      <c r="E378" s="139" t="s">
        <v>100</v>
      </c>
      <c r="F378" s="118">
        <v>156279.67999999999</v>
      </c>
      <c r="G378" s="119"/>
      <c r="H378" s="120">
        <f t="shared" si="6"/>
        <v>156279.67999999999</v>
      </c>
    </row>
    <row r="379" spans="1:8">
      <c r="A379" s="139" t="s">
        <v>959</v>
      </c>
      <c r="B379" s="139" t="s">
        <v>960</v>
      </c>
      <c r="C379" s="139" t="s">
        <v>872</v>
      </c>
      <c r="D379" s="139" t="s">
        <v>162</v>
      </c>
      <c r="E379" s="139" t="s">
        <v>100</v>
      </c>
      <c r="F379" s="118">
        <v>730709.8</v>
      </c>
      <c r="G379" s="119"/>
      <c r="H379" s="120">
        <f t="shared" si="6"/>
        <v>730709.8</v>
      </c>
    </row>
    <row r="380" spans="1:8">
      <c r="A380" s="139" t="s">
        <v>961</v>
      </c>
      <c r="B380" s="139" t="s">
        <v>962</v>
      </c>
      <c r="C380" s="139" t="s">
        <v>872</v>
      </c>
      <c r="D380" s="139" t="s">
        <v>162</v>
      </c>
      <c r="E380" s="139" t="s">
        <v>100</v>
      </c>
      <c r="F380" s="118">
        <v>66897.320000000007</v>
      </c>
      <c r="G380" s="119">
        <f>1138.06-1137.06</f>
        <v>1</v>
      </c>
      <c r="H380" s="120">
        <f t="shared" si="6"/>
        <v>66898.320000000007</v>
      </c>
    </row>
    <row r="381" spans="1:8">
      <c r="A381" s="139" t="s">
        <v>963</v>
      </c>
      <c r="B381" s="139" t="s">
        <v>964</v>
      </c>
      <c r="C381" s="139" t="s">
        <v>872</v>
      </c>
      <c r="D381" s="139" t="s">
        <v>162</v>
      </c>
      <c r="E381" s="139" t="s">
        <v>100</v>
      </c>
      <c r="F381" s="118">
        <v>0</v>
      </c>
      <c r="G381" s="119"/>
      <c r="H381" s="120">
        <f t="shared" si="6"/>
        <v>0</v>
      </c>
    </row>
    <row r="382" spans="1:8">
      <c r="A382" s="139" t="s">
        <v>965</v>
      </c>
      <c r="B382" s="139" t="s">
        <v>966</v>
      </c>
      <c r="C382" s="139" t="s">
        <v>872</v>
      </c>
      <c r="D382" s="139" t="s">
        <v>169</v>
      </c>
      <c r="E382" s="139" t="s">
        <v>967</v>
      </c>
      <c r="F382" s="118">
        <v>953886.8</v>
      </c>
      <c r="G382" s="119"/>
      <c r="H382" s="120"/>
    </row>
    <row r="383" spans="1:8">
      <c r="A383" s="139" t="s">
        <v>968</v>
      </c>
      <c r="B383" s="139" t="s">
        <v>938</v>
      </c>
      <c r="C383" s="139" t="s">
        <v>872</v>
      </c>
      <c r="D383" s="139" t="s">
        <v>169</v>
      </c>
      <c r="E383" s="139" t="s">
        <v>969</v>
      </c>
      <c r="F383" s="118">
        <v>1611741.31</v>
      </c>
      <c r="G383" s="119"/>
      <c r="H383" s="120"/>
    </row>
    <row r="384" spans="1:8">
      <c r="A384" s="139" t="s">
        <v>970</v>
      </c>
      <c r="B384" s="139" t="s">
        <v>971</v>
      </c>
      <c r="C384" s="139" t="s">
        <v>872</v>
      </c>
      <c r="D384" s="139" t="s">
        <v>157</v>
      </c>
      <c r="E384" s="139" t="s">
        <v>100</v>
      </c>
      <c r="F384" s="118">
        <v>0</v>
      </c>
      <c r="G384" s="119"/>
      <c r="H384" s="120">
        <f t="shared" si="6"/>
        <v>0</v>
      </c>
    </row>
    <row r="385" spans="1:8">
      <c r="A385" s="139" t="s">
        <v>972</v>
      </c>
      <c r="B385" s="139" t="s">
        <v>973</v>
      </c>
      <c r="C385" s="139" t="s">
        <v>872</v>
      </c>
      <c r="D385" s="139" t="s">
        <v>162</v>
      </c>
      <c r="E385" s="139" t="s">
        <v>100</v>
      </c>
      <c r="F385" s="118">
        <v>7696190.9900000002</v>
      </c>
      <c r="G385" s="119"/>
      <c r="H385" s="120">
        <f t="shared" si="6"/>
        <v>7696190.9900000002</v>
      </c>
    </row>
    <row r="386" spans="1:8">
      <c r="A386" s="139" t="s">
        <v>974</v>
      </c>
      <c r="B386" s="139" t="s">
        <v>2172</v>
      </c>
      <c r="C386" s="139" t="s">
        <v>872</v>
      </c>
      <c r="D386" s="139" t="s">
        <v>162</v>
      </c>
      <c r="E386" s="139" t="s">
        <v>100</v>
      </c>
      <c r="F386" s="118">
        <v>2533.35</v>
      </c>
      <c r="G386" s="119"/>
      <c r="H386" s="120">
        <f t="shared" si="6"/>
        <v>2533.35</v>
      </c>
    </row>
    <row r="387" spans="1:8">
      <c r="A387" s="139" t="s">
        <v>976</v>
      </c>
      <c r="B387" s="139" t="s">
        <v>977</v>
      </c>
      <c r="C387" s="139" t="s">
        <v>872</v>
      </c>
      <c r="D387" s="139" t="s">
        <v>162</v>
      </c>
      <c r="E387" s="139" t="s">
        <v>100</v>
      </c>
      <c r="F387" s="118">
        <v>5534.34</v>
      </c>
      <c r="G387" s="119"/>
      <c r="H387" s="120">
        <f t="shared" si="6"/>
        <v>5534.34</v>
      </c>
    </row>
    <row r="388" spans="1:8">
      <c r="A388" s="139" t="s">
        <v>978</v>
      </c>
      <c r="B388" s="139" t="s">
        <v>979</v>
      </c>
      <c r="C388" s="139" t="s">
        <v>872</v>
      </c>
      <c r="D388" s="139" t="s">
        <v>162</v>
      </c>
      <c r="E388" s="139" t="s">
        <v>100</v>
      </c>
      <c r="F388" s="118">
        <v>0</v>
      </c>
      <c r="G388" s="119"/>
      <c r="H388" s="120">
        <f t="shared" si="6"/>
        <v>0</v>
      </c>
    </row>
    <row r="389" spans="1:8">
      <c r="A389" s="139" t="s">
        <v>980</v>
      </c>
      <c r="B389" s="139" t="s">
        <v>981</v>
      </c>
      <c r="C389" s="139" t="s">
        <v>872</v>
      </c>
      <c r="D389" s="139" t="s">
        <v>162</v>
      </c>
      <c r="E389" s="139" t="s">
        <v>100</v>
      </c>
      <c r="F389" s="118">
        <v>-23867.119999999999</v>
      </c>
      <c r="G389" s="119"/>
      <c r="H389" s="120">
        <f t="shared" si="6"/>
        <v>-23867.119999999999</v>
      </c>
    </row>
    <row r="390" spans="1:8">
      <c r="A390" s="139" t="s">
        <v>982</v>
      </c>
      <c r="B390" s="139" t="s">
        <v>983</v>
      </c>
      <c r="C390" s="139" t="s">
        <v>872</v>
      </c>
      <c r="D390" s="139" t="s">
        <v>162</v>
      </c>
      <c r="E390" s="139" t="s">
        <v>100</v>
      </c>
      <c r="F390" s="118">
        <v>0</v>
      </c>
      <c r="G390" s="119"/>
      <c r="H390" s="120">
        <f t="shared" si="6"/>
        <v>0</v>
      </c>
    </row>
    <row r="391" spans="1:8">
      <c r="A391" s="139" t="s">
        <v>984</v>
      </c>
      <c r="B391" s="139" t="s">
        <v>985</v>
      </c>
      <c r="C391" s="139" t="s">
        <v>872</v>
      </c>
      <c r="D391" s="139" t="s">
        <v>162</v>
      </c>
      <c r="E391" s="139" t="s">
        <v>100</v>
      </c>
      <c r="F391" s="118">
        <v>2623.05</v>
      </c>
      <c r="G391" s="119"/>
      <c r="H391" s="120">
        <f t="shared" si="6"/>
        <v>2623.05</v>
      </c>
    </row>
    <row r="392" spans="1:8">
      <c r="A392" s="139" t="s">
        <v>986</v>
      </c>
      <c r="B392" s="139" t="s">
        <v>987</v>
      </c>
      <c r="C392" s="139" t="s">
        <v>872</v>
      </c>
      <c r="D392" s="139" t="s">
        <v>162</v>
      </c>
      <c r="E392" s="139" t="s">
        <v>100</v>
      </c>
      <c r="F392" s="118">
        <v>4455.5</v>
      </c>
      <c r="G392" s="119"/>
      <c r="H392" s="120">
        <f t="shared" si="6"/>
        <v>4455.5</v>
      </c>
    </row>
    <row r="393" spans="1:8">
      <c r="A393" s="139" t="s">
        <v>988</v>
      </c>
      <c r="B393" s="139" t="s">
        <v>2173</v>
      </c>
      <c r="C393" s="139" t="s">
        <v>872</v>
      </c>
      <c r="D393" s="139" t="s">
        <v>162</v>
      </c>
      <c r="E393" s="139" t="s">
        <v>100</v>
      </c>
      <c r="F393" s="118">
        <v>1063.98</v>
      </c>
      <c r="G393" s="119"/>
      <c r="H393" s="120">
        <f t="shared" si="6"/>
        <v>1063.98</v>
      </c>
    </row>
    <row r="394" spans="1:8">
      <c r="A394" s="139" t="s">
        <v>990</v>
      </c>
      <c r="B394" s="139" t="s">
        <v>2174</v>
      </c>
      <c r="C394" s="139" t="s">
        <v>872</v>
      </c>
      <c r="D394" s="139" t="s">
        <v>162</v>
      </c>
      <c r="E394" s="139" t="s">
        <v>100</v>
      </c>
      <c r="F394" s="118">
        <v>1371.33</v>
      </c>
      <c r="G394" s="119"/>
      <c r="H394" s="120">
        <f t="shared" si="6"/>
        <v>1371.33</v>
      </c>
    </row>
    <row r="395" spans="1:8">
      <c r="A395" s="139" t="s">
        <v>992</v>
      </c>
      <c r="B395" s="139" t="s">
        <v>993</v>
      </c>
      <c r="C395" s="139" t="s">
        <v>872</v>
      </c>
      <c r="D395" s="139" t="s">
        <v>162</v>
      </c>
      <c r="E395" s="139" t="s">
        <v>100</v>
      </c>
      <c r="F395" s="118">
        <v>236.08</v>
      </c>
      <c r="G395" s="119"/>
      <c r="H395" s="120">
        <f t="shared" si="6"/>
        <v>236.08</v>
      </c>
    </row>
    <row r="396" spans="1:8">
      <c r="A396" s="139" t="s">
        <v>994</v>
      </c>
      <c r="B396" s="139" t="s">
        <v>2175</v>
      </c>
      <c r="C396" s="139" t="s">
        <v>872</v>
      </c>
      <c r="D396" s="139" t="s">
        <v>162</v>
      </c>
      <c r="E396" s="139" t="s">
        <v>100</v>
      </c>
      <c r="F396" s="118">
        <v>3126.41</v>
      </c>
      <c r="G396" s="119"/>
      <c r="H396" s="120">
        <f t="shared" si="6"/>
        <v>3126.41</v>
      </c>
    </row>
    <row r="397" spans="1:8">
      <c r="A397" s="139" t="s">
        <v>996</v>
      </c>
      <c r="B397" s="139" t="s">
        <v>2176</v>
      </c>
      <c r="C397" s="139" t="s">
        <v>872</v>
      </c>
      <c r="D397" s="139" t="s">
        <v>162</v>
      </c>
      <c r="E397" s="139" t="s">
        <v>100</v>
      </c>
      <c r="F397" s="118">
        <v>6004.35</v>
      </c>
      <c r="G397" s="119"/>
      <c r="H397" s="120">
        <f t="shared" si="6"/>
        <v>6004.35</v>
      </c>
    </row>
    <row r="398" spans="1:8">
      <c r="A398" s="139" t="s">
        <v>998</v>
      </c>
      <c r="B398" s="139" t="s">
        <v>2177</v>
      </c>
      <c r="C398" s="139" t="s">
        <v>872</v>
      </c>
      <c r="D398" s="139" t="s">
        <v>162</v>
      </c>
      <c r="E398" s="139" t="s">
        <v>100</v>
      </c>
      <c r="F398" s="118">
        <v>26838.32</v>
      </c>
      <c r="G398" s="119"/>
      <c r="H398" s="120">
        <f t="shared" si="6"/>
        <v>26838.32</v>
      </c>
    </row>
    <row r="399" spans="1:8">
      <c r="A399" s="139" t="s">
        <v>1000</v>
      </c>
      <c r="B399" s="139" t="s">
        <v>1001</v>
      </c>
      <c r="C399" s="139" t="s">
        <v>872</v>
      </c>
      <c r="D399" s="139" t="s">
        <v>162</v>
      </c>
      <c r="E399" s="139" t="s">
        <v>100</v>
      </c>
      <c r="F399" s="118">
        <v>4994.3599999999997</v>
      </c>
      <c r="G399" s="119"/>
      <c r="H399" s="120">
        <f t="shared" si="6"/>
        <v>4994.3599999999997</v>
      </c>
    </row>
    <row r="400" spans="1:8">
      <c r="A400" s="139" t="s">
        <v>1002</v>
      </c>
      <c r="B400" s="139" t="s">
        <v>1003</v>
      </c>
      <c r="C400" s="139" t="s">
        <v>872</v>
      </c>
      <c r="D400" s="139" t="s">
        <v>169</v>
      </c>
      <c r="E400" s="139" t="s">
        <v>1004</v>
      </c>
      <c r="F400" s="118">
        <v>7731104.9400000004</v>
      </c>
      <c r="G400" s="119"/>
      <c r="H400" s="120"/>
    </row>
    <row r="401" spans="1:10">
      <c r="A401" s="139" t="s">
        <v>1005</v>
      </c>
      <c r="B401" s="139" t="s">
        <v>1006</v>
      </c>
      <c r="C401" s="139" t="s">
        <v>872</v>
      </c>
      <c r="D401" s="139" t="s">
        <v>169</v>
      </c>
      <c r="E401" s="139" t="s">
        <v>1007</v>
      </c>
      <c r="F401" s="118">
        <v>73303376.25</v>
      </c>
      <c r="G401" s="119"/>
      <c r="H401" s="120"/>
    </row>
    <row r="402" spans="1:10">
      <c r="A402" s="139" t="s">
        <v>1008</v>
      </c>
      <c r="B402" s="139" t="s">
        <v>1009</v>
      </c>
      <c r="C402" s="139" t="s">
        <v>872</v>
      </c>
      <c r="D402" s="139" t="s">
        <v>157</v>
      </c>
      <c r="E402" s="139" t="s">
        <v>100</v>
      </c>
      <c r="F402" s="121">
        <v>0</v>
      </c>
      <c r="G402" s="119"/>
      <c r="H402" s="48"/>
    </row>
    <row r="403" spans="1:10">
      <c r="A403" s="139" t="s">
        <v>1010</v>
      </c>
      <c r="B403" s="139" t="s">
        <v>1011</v>
      </c>
      <c r="C403" s="139" t="s">
        <v>872</v>
      </c>
      <c r="D403" s="139" t="s">
        <v>157</v>
      </c>
      <c r="E403" s="139" t="s">
        <v>100</v>
      </c>
      <c r="F403" s="121">
        <v>0</v>
      </c>
      <c r="G403" s="119"/>
      <c r="H403" s="48"/>
    </row>
    <row r="404" spans="1:10">
      <c r="A404" s="139" t="s">
        <v>1012</v>
      </c>
      <c r="B404" s="139" t="s">
        <v>1013</v>
      </c>
      <c r="C404" s="139" t="s">
        <v>872</v>
      </c>
      <c r="D404" s="139" t="s">
        <v>157</v>
      </c>
      <c r="E404" s="139" t="s">
        <v>100</v>
      </c>
      <c r="F404" s="121">
        <v>0</v>
      </c>
      <c r="G404" s="119"/>
      <c r="H404" s="48"/>
    </row>
    <row r="405" spans="1:10">
      <c r="A405" s="139" t="s">
        <v>1014</v>
      </c>
      <c r="B405" s="139" t="s">
        <v>1015</v>
      </c>
      <c r="C405" s="139" t="s">
        <v>872</v>
      </c>
      <c r="D405" s="139" t="s">
        <v>162</v>
      </c>
      <c r="E405" s="139" t="s">
        <v>100</v>
      </c>
      <c r="F405" s="121">
        <v>-25011224.32</v>
      </c>
      <c r="G405" s="119"/>
      <c r="H405" s="48">
        <f>SUM(F405:G405)</f>
        <v>-25011224.32</v>
      </c>
    </row>
    <row r="406" spans="1:10">
      <c r="A406" s="139" t="s">
        <v>1016</v>
      </c>
      <c r="B406" s="139" t="s">
        <v>106</v>
      </c>
      <c r="C406" s="139" t="s">
        <v>872</v>
      </c>
      <c r="D406" s="139" t="s">
        <v>598</v>
      </c>
      <c r="E406" s="139" t="s">
        <v>869</v>
      </c>
      <c r="F406" s="121">
        <v>307940.73</v>
      </c>
      <c r="G406" s="119">
        <v>-766533.5</v>
      </c>
      <c r="H406" s="48"/>
      <c r="I406" s="3">
        <f>SUM(H3:H337)</f>
        <v>1069812.9999999986</v>
      </c>
      <c r="J406">
        <v>-500000</v>
      </c>
    </row>
    <row r="407" spans="1:10">
      <c r="A407" s="139" t="s">
        <v>1017</v>
      </c>
      <c r="B407" s="139" t="s">
        <v>1018</v>
      </c>
      <c r="C407" s="139" t="s">
        <v>872</v>
      </c>
      <c r="D407" s="139" t="s">
        <v>162</v>
      </c>
      <c r="E407" s="139" t="s">
        <v>100</v>
      </c>
      <c r="F407" s="121">
        <v>-3131550</v>
      </c>
      <c r="G407" s="119"/>
      <c r="H407" s="48">
        <f t="shared" ref="H407:H469" si="7">SUM(F407:G407)</f>
        <v>-3131550</v>
      </c>
    </row>
    <row r="408" spans="1:10">
      <c r="A408" s="139" t="s">
        <v>1019</v>
      </c>
      <c r="B408" s="139" t="s">
        <v>1020</v>
      </c>
      <c r="C408" s="139" t="s">
        <v>872</v>
      </c>
      <c r="D408" s="139" t="s">
        <v>162</v>
      </c>
      <c r="E408" s="139" t="s">
        <v>100</v>
      </c>
      <c r="F408" s="121">
        <v>526878.71</v>
      </c>
      <c r="G408" s="119"/>
      <c r="H408" s="48">
        <f t="shared" si="7"/>
        <v>526878.71</v>
      </c>
      <c r="I408" s="3">
        <f>+F408-H408</f>
        <v>0</v>
      </c>
    </row>
    <row r="409" spans="1:10">
      <c r="A409" s="139" t="s">
        <v>1021</v>
      </c>
      <c r="B409" s="139" t="s">
        <v>1022</v>
      </c>
      <c r="C409" s="139" t="s">
        <v>872</v>
      </c>
      <c r="D409" s="139" t="s">
        <v>162</v>
      </c>
      <c r="E409" s="139" t="s">
        <v>100</v>
      </c>
      <c r="F409" s="121">
        <v>-20735679.149999999</v>
      </c>
      <c r="G409" s="119"/>
      <c r="H409" s="48">
        <f t="shared" si="7"/>
        <v>-20735679.149999999</v>
      </c>
    </row>
    <row r="410" spans="1:10">
      <c r="A410" s="139" t="s">
        <v>1023</v>
      </c>
      <c r="B410" s="139" t="s">
        <v>1024</v>
      </c>
      <c r="C410" s="139" t="s">
        <v>872</v>
      </c>
      <c r="D410" s="139" t="s">
        <v>162</v>
      </c>
      <c r="E410" s="139" t="s">
        <v>100</v>
      </c>
      <c r="F410" s="121">
        <v>-1820109.5</v>
      </c>
      <c r="G410" s="119">
        <f>766533.5+500000</f>
        <v>1266533.5</v>
      </c>
      <c r="H410" s="48">
        <f t="shared" si="7"/>
        <v>-553576</v>
      </c>
    </row>
    <row r="411" spans="1:10">
      <c r="A411" s="139" t="s">
        <v>1025</v>
      </c>
      <c r="B411" s="139" t="s">
        <v>1026</v>
      </c>
      <c r="C411" s="139" t="s">
        <v>872</v>
      </c>
      <c r="D411" s="139" t="s">
        <v>169</v>
      </c>
      <c r="E411" s="139" t="s">
        <v>1027</v>
      </c>
      <c r="F411" s="121">
        <v>-50171684.259999998</v>
      </c>
      <c r="G411" s="119"/>
      <c r="H411" s="48"/>
    </row>
    <row r="412" spans="1:10">
      <c r="A412" s="139" t="s">
        <v>1028</v>
      </c>
      <c r="B412" s="139" t="s">
        <v>1029</v>
      </c>
      <c r="C412" s="139" t="s">
        <v>872</v>
      </c>
      <c r="D412" s="139" t="s">
        <v>157</v>
      </c>
      <c r="E412" s="139" t="s">
        <v>100</v>
      </c>
      <c r="F412" s="121">
        <v>0</v>
      </c>
      <c r="G412" s="119"/>
      <c r="H412" s="48"/>
    </row>
    <row r="413" spans="1:10">
      <c r="A413" s="139" t="s">
        <v>1030</v>
      </c>
      <c r="B413" s="139" t="s">
        <v>1031</v>
      </c>
      <c r="C413" s="139" t="s">
        <v>872</v>
      </c>
      <c r="D413" s="139" t="s">
        <v>162</v>
      </c>
      <c r="E413" s="139" t="s">
        <v>100</v>
      </c>
      <c r="F413" s="121">
        <v>-14393084.25</v>
      </c>
      <c r="G413" s="119"/>
      <c r="H413" s="48">
        <f t="shared" si="7"/>
        <v>-14393084.25</v>
      </c>
    </row>
    <row r="414" spans="1:10">
      <c r="A414" s="139" t="s">
        <v>1032</v>
      </c>
      <c r="B414" s="139" t="s">
        <v>1033</v>
      </c>
      <c r="C414" s="139" t="s">
        <v>872</v>
      </c>
      <c r="D414" s="139" t="s">
        <v>162</v>
      </c>
      <c r="E414" s="139" t="s">
        <v>100</v>
      </c>
      <c r="F414" s="121">
        <v>-49935</v>
      </c>
      <c r="G414" s="119"/>
      <c r="H414" s="48">
        <f t="shared" si="7"/>
        <v>-49935</v>
      </c>
    </row>
    <row r="415" spans="1:10">
      <c r="A415" s="139" t="s">
        <v>1034</v>
      </c>
      <c r="B415" s="139" t="s">
        <v>1035</v>
      </c>
      <c r="C415" s="139" t="s">
        <v>872</v>
      </c>
      <c r="D415" s="139" t="s">
        <v>162</v>
      </c>
      <c r="E415" s="139" t="s">
        <v>100</v>
      </c>
      <c r="F415" s="121">
        <v>512941</v>
      </c>
      <c r="G415" s="119"/>
      <c r="H415" s="48">
        <f t="shared" si="7"/>
        <v>512941</v>
      </c>
    </row>
    <row r="416" spans="1:10">
      <c r="A416" s="139" t="s">
        <v>1036</v>
      </c>
      <c r="B416" s="139" t="s">
        <v>1037</v>
      </c>
      <c r="C416" s="139" t="s">
        <v>872</v>
      </c>
      <c r="D416" s="139" t="s">
        <v>162</v>
      </c>
      <c r="E416" s="139" t="s">
        <v>100</v>
      </c>
      <c r="F416" s="121">
        <v>7235253</v>
      </c>
      <c r="G416" s="119"/>
      <c r="H416" s="48">
        <f t="shared" si="7"/>
        <v>7235253</v>
      </c>
    </row>
    <row r="417" spans="1:8">
      <c r="A417" s="139" t="s">
        <v>1038</v>
      </c>
      <c r="B417" s="139" t="s">
        <v>440</v>
      </c>
      <c r="C417" s="139" t="s">
        <v>872</v>
      </c>
      <c r="D417" s="139" t="s">
        <v>162</v>
      </c>
      <c r="E417" s="139" t="s">
        <v>100</v>
      </c>
      <c r="F417" s="121">
        <v>40000</v>
      </c>
      <c r="G417" s="119"/>
      <c r="H417" s="48">
        <f t="shared" si="7"/>
        <v>40000</v>
      </c>
    </row>
    <row r="418" spans="1:8">
      <c r="A418" s="139" t="s">
        <v>1039</v>
      </c>
      <c r="B418" s="139" t="s">
        <v>1040</v>
      </c>
      <c r="C418" s="139" t="s">
        <v>872</v>
      </c>
      <c r="D418" s="139" t="s">
        <v>169</v>
      </c>
      <c r="E418" s="139" t="s">
        <v>1041</v>
      </c>
      <c r="F418" s="121">
        <v>-6654825.25</v>
      </c>
      <c r="G418" s="119"/>
      <c r="H418" s="48"/>
    </row>
    <row r="419" spans="1:8">
      <c r="A419" s="139" t="s">
        <v>1042</v>
      </c>
      <c r="B419" s="139" t="s">
        <v>1043</v>
      </c>
      <c r="C419" s="139" t="s">
        <v>872</v>
      </c>
      <c r="D419" s="139" t="s">
        <v>157</v>
      </c>
      <c r="E419" s="139" t="s">
        <v>100</v>
      </c>
      <c r="F419" s="121">
        <v>0</v>
      </c>
      <c r="G419" s="119"/>
      <c r="H419" s="48"/>
    </row>
    <row r="420" spans="1:8">
      <c r="A420" s="139" t="s">
        <v>1044</v>
      </c>
      <c r="B420" s="139" t="s">
        <v>1045</v>
      </c>
      <c r="C420" s="139" t="s">
        <v>872</v>
      </c>
      <c r="D420" s="139" t="s">
        <v>162</v>
      </c>
      <c r="E420" s="139" t="s">
        <v>100</v>
      </c>
      <c r="F420" s="121">
        <v>0</v>
      </c>
      <c r="G420" s="119"/>
      <c r="H420" s="48">
        <f t="shared" si="7"/>
        <v>0</v>
      </c>
    </row>
    <row r="421" spans="1:8">
      <c r="A421" s="139" t="s">
        <v>1046</v>
      </c>
      <c r="B421" s="139" t="s">
        <v>1047</v>
      </c>
      <c r="C421" s="139" t="s">
        <v>872</v>
      </c>
      <c r="D421" s="139" t="s">
        <v>162</v>
      </c>
      <c r="E421" s="139" t="s">
        <v>100</v>
      </c>
      <c r="F421" s="121">
        <v>0</v>
      </c>
      <c r="G421" s="119"/>
      <c r="H421" s="48">
        <f t="shared" si="7"/>
        <v>0</v>
      </c>
    </row>
    <row r="422" spans="1:8">
      <c r="A422" s="139" t="s">
        <v>1048</v>
      </c>
      <c r="B422" s="139" t="s">
        <v>1049</v>
      </c>
      <c r="C422" s="139" t="s">
        <v>872</v>
      </c>
      <c r="D422" s="139" t="s">
        <v>162</v>
      </c>
      <c r="E422" s="139" t="s">
        <v>100</v>
      </c>
      <c r="F422" s="121">
        <v>0</v>
      </c>
      <c r="G422" s="119"/>
      <c r="H422" s="48">
        <f t="shared" si="7"/>
        <v>0</v>
      </c>
    </row>
    <row r="423" spans="1:8">
      <c r="A423" s="139" t="s">
        <v>1050</v>
      </c>
      <c r="B423" s="139" t="s">
        <v>1051</v>
      </c>
      <c r="C423" s="139" t="s">
        <v>872</v>
      </c>
      <c r="D423" s="139" t="s">
        <v>162</v>
      </c>
      <c r="E423" s="139" t="s">
        <v>100</v>
      </c>
      <c r="F423" s="121">
        <v>0</v>
      </c>
      <c r="G423" s="119"/>
      <c r="H423" s="48">
        <f t="shared" si="7"/>
        <v>0</v>
      </c>
    </row>
    <row r="424" spans="1:8">
      <c r="A424" s="139" t="s">
        <v>1052</v>
      </c>
      <c r="B424" s="139" t="s">
        <v>1053</v>
      </c>
      <c r="C424" s="139" t="s">
        <v>872</v>
      </c>
      <c r="D424" s="139" t="s">
        <v>162</v>
      </c>
      <c r="E424" s="139" t="s">
        <v>100</v>
      </c>
      <c r="F424" s="121">
        <v>0</v>
      </c>
      <c r="G424" s="119"/>
      <c r="H424" s="48">
        <f t="shared" si="7"/>
        <v>0</v>
      </c>
    </row>
    <row r="425" spans="1:8">
      <c r="A425" s="139" t="s">
        <v>1054</v>
      </c>
      <c r="B425" s="139" t="s">
        <v>1055</v>
      </c>
      <c r="C425" s="139" t="s">
        <v>872</v>
      </c>
      <c r="D425" s="139" t="s">
        <v>162</v>
      </c>
      <c r="E425" s="139" t="s">
        <v>100</v>
      </c>
      <c r="F425" s="121">
        <v>-3143577.91</v>
      </c>
      <c r="G425" s="119"/>
      <c r="H425" s="48">
        <f t="shared" si="7"/>
        <v>-3143577.91</v>
      </c>
    </row>
    <row r="426" spans="1:8">
      <c r="A426" s="139" t="s">
        <v>1056</v>
      </c>
      <c r="B426" s="139" t="s">
        <v>2178</v>
      </c>
      <c r="C426" s="139" t="s">
        <v>872</v>
      </c>
      <c r="D426" s="139" t="s">
        <v>157</v>
      </c>
      <c r="E426" s="139" t="s">
        <v>100</v>
      </c>
      <c r="F426" s="121">
        <v>0</v>
      </c>
      <c r="G426" s="119"/>
      <c r="H426" s="48"/>
    </row>
    <row r="427" spans="1:8">
      <c r="A427" s="139" t="s">
        <v>1058</v>
      </c>
      <c r="B427" s="139" t="s">
        <v>1031</v>
      </c>
      <c r="C427" s="139" t="s">
        <v>872</v>
      </c>
      <c r="D427" s="139" t="s">
        <v>162</v>
      </c>
      <c r="E427" s="139" t="s">
        <v>100</v>
      </c>
      <c r="F427" s="121">
        <v>-547124.31999999995</v>
      </c>
      <c r="G427" s="119"/>
      <c r="H427" s="48">
        <f t="shared" si="7"/>
        <v>-547124.31999999995</v>
      </c>
    </row>
    <row r="428" spans="1:8">
      <c r="A428" s="139" t="s">
        <v>1059</v>
      </c>
      <c r="B428" s="139" t="s">
        <v>1060</v>
      </c>
      <c r="C428" s="139" t="s">
        <v>872</v>
      </c>
      <c r="D428" s="139" t="s">
        <v>162</v>
      </c>
      <c r="E428" s="139" t="s">
        <v>100</v>
      </c>
      <c r="F428" s="121">
        <v>0</v>
      </c>
      <c r="G428" s="119"/>
      <c r="H428" s="48">
        <f t="shared" si="7"/>
        <v>0</v>
      </c>
    </row>
    <row r="429" spans="1:8">
      <c r="A429" s="139" t="s">
        <v>1061</v>
      </c>
      <c r="B429" s="139" t="s">
        <v>1062</v>
      </c>
      <c r="C429" s="139" t="s">
        <v>872</v>
      </c>
      <c r="D429" s="139" t="s">
        <v>162</v>
      </c>
      <c r="E429" s="139" t="s">
        <v>100</v>
      </c>
      <c r="F429" s="121">
        <v>4924.12</v>
      </c>
      <c r="G429" s="119"/>
      <c r="H429" s="48">
        <f t="shared" si="7"/>
        <v>4924.12</v>
      </c>
    </row>
    <row r="430" spans="1:8">
      <c r="A430" s="139" t="s">
        <v>1063</v>
      </c>
      <c r="B430" s="139" t="s">
        <v>2179</v>
      </c>
      <c r="C430" s="139" t="s">
        <v>872</v>
      </c>
      <c r="D430" s="139" t="s">
        <v>169</v>
      </c>
      <c r="E430" s="139" t="s">
        <v>1065</v>
      </c>
      <c r="F430" s="121">
        <v>-542200.19999999995</v>
      </c>
      <c r="G430" s="119"/>
      <c r="H430" s="48"/>
    </row>
    <row r="431" spans="1:8">
      <c r="A431" s="139" t="s">
        <v>1066</v>
      </c>
      <c r="B431" s="139" t="s">
        <v>1067</v>
      </c>
      <c r="C431" s="139" t="s">
        <v>872</v>
      </c>
      <c r="D431" s="139" t="s">
        <v>169</v>
      </c>
      <c r="E431" s="139" t="s">
        <v>1068</v>
      </c>
      <c r="F431" s="121">
        <v>-3685778.11</v>
      </c>
      <c r="G431" s="119"/>
      <c r="H431" s="48"/>
    </row>
    <row r="432" spans="1:8">
      <c r="A432" s="139" t="s">
        <v>1069</v>
      </c>
      <c r="B432" s="139" t="s">
        <v>1070</v>
      </c>
      <c r="C432" s="139" t="s">
        <v>872</v>
      </c>
      <c r="D432" s="139" t="s">
        <v>169</v>
      </c>
      <c r="E432" s="139" t="s">
        <v>1071</v>
      </c>
      <c r="F432" s="121">
        <v>-60512287.619999997</v>
      </c>
      <c r="G432" s="119"/>
      <c r="H432" s="48"/>
    </row>
    <row r="433" spans="1:8">
      <c r="A433" s="139" t="s">
        <v>1072</v>
      </c>
      <c r="B433" s="139" t="s">
        <v>1073</v>
      </c>
      <c r="C433" s="139" t="s">
        <v>872</v>
      </c>
      <c r="D433" s="139" t="s">
        <v>157</v>
      </c>
      <c r="E433" s="139" t="s">
        <v>100</v>
      </c>
      <c r="F433" s="121">
        <v>0</v>
      </c>
      <c r="G433" s="119"/>
      <c r="H433" s="48">
        <f t="shared" si="7"/>
        <v>0</v>
      </c>
    </row>
    <row r="434" spans="1:8">
      <c r="A434" s="139" t="s">
        <v>1074</v>
      </c>
      <c r="B434" s="139" t="s">
        <v>1075</v>
      </c>
      <c r="C434" s="139" t="s">
        <v>872</v>
      </c>
      <c r="D434" s="139" t="s">
        <v>162</v>
      </c>
      <c r="E434" s="139" t="s">
        <v>100</v>
      </c>
      <c r="F434" s="121">
        <v>0</v>
      </c>
      <c r="G434" s="119"/>
      <c r="H434" s="48">
        <f t="shared" si="7"/>
        <v>0</v>
      </c>
    </row>
    <row r="435" spans="1:8">
      <c r="A435" s="139" t="s">
        <v>1076</v>
      </c>
      <c r="B435" s="139" t="s">
        <v>1077</v>
      </c>
      <c r="C435" s="139" t="s">
        <v>872</v>
      </c>
      <c r="D435" s="139" t="s">
        <v>162</v>
      </c>
      <c r="E435" s="139" t="s">
        <v>100</v>
      </c>
      <c r="F435" s="121">
        <v>0</v>
      </c>
      <c r="G435" s="119"/>
      <c r="H435" s="48">
        <f t="shared" si="7"/>
        <v>0</v>
      </c>
    </row>
    <row r="436" spans="1:8">
      <c r="A436" s="139" t="s">
        <v>1078</v>
      </c>
      <c r="B436" s="139" t="s">
        <v>1079</v>
      </c>
      <c r="C436" s="139" t="s">
        <v>872</v>
      </c>
      <c r="D436" s="139" t="s">
        <v>162</v>
      </c>
      <c r="E436" s="139" t="s">
        <v>100</v>
      </c>
      <c r="F436" s="121">
        <v>-8726454.5399999991</v>
      </c>
      <c r="G436" s="119"/>
      <c r="H436" s="48">
        <f t="shared" si="7"/>
        <v>-8726454.5399999991</v>
      </c>
    </row>
    <row r="437" spans="1:8">
      <c r="A437" s="139" t="s">
        <v>1080</v>
      </c>
      <c r="B437" s="139" t="s">
        <v>1081</v>
      </c>
      <c r="C437" s="139" t="s">
        <v>872</v>
      </c>
      <c r="D437" s="139" t="s">
        <v>169</v>
      </c>
      <c r="E437" s="139" t="s">
        <v>1082</v>
      </c>
      <c r="F437" s="121">
        <v>-8726454.5399999991</v>
      </c>
      <c r="G437" s="119"/>
      <c r="H437" s="48"/>
    </row>
    <row r="438" spans="1:8">
      <c r="A438" s="139" t="s">
        <v>1083</v>
      </c>
      <c r="B438" s="139" t="s">
        <v>1084</v>
      </c>
      <c r="C438" s="139" t="s">
        <v>872</v>
      </c>
      <c r="D438" s="139" t="s">
        <v>157</v>
      </c>
      <c r="E438" s="139" t="s">
        <v>100</v>
      </c>
      <c r="F438" s="121">
        <v>0</v>
      </c>
      <c r="G438" s="119"/>
      <c r="H438" s="48"/>
    </row>
    <row r="439" spans="1:8">
      <c r="A439" s="139" t="s">
        <v>1085</v>
      </c>
      <c r="B439" s="139" t="s">
        <v>1086</v>
      </c>
      <c r="C439" s="139" t="s">
        <v>872</v>
      </c>
      <c r="D439" s="139" t="s">
        <v>157</v>
      </c>
      <c r="E439" s="139" t="s">
        <v>100</v>
      </c>
      <c r="F439" s="121">
        <v>0</v>
      </c>
      <c r="G439" s="119"/>
      <c r="H439" s="48"/>
    </row>
    <row r="440" spans="1:8">
      <c r="A440" s="139" t="s">
        <v>1087</v>
      </c>
      <c r="B440" s="139" t="s">
        <v>1088</v>
      </c>
      <c r="C440" s="139" t="s">
        <v>872</v>
      </c>
      <c r="D440" s="139" t="s">
        <v>162</v>
      </c>
      <c r="E440" s="139" t="s">
        <v>100</v>
      </c>
      <c r="F440" s="121">
        <v>-494341.02</v>
      </c>
      <c r="G440" s="119"/>
      <c r="H440" s="48">
        <f t="shared" si="7"/>
        <v>-494341.02</v>
      </c>
    </row>
    <row r="441" spans="1:8">
      <c r="A441" s="139" t="s">
        <v>1089</v>
      </c>
      <c r="B441" s="139" t="s">
        <v>1090</v>
      </c>
      <c r="C441" s="139" t="s">
        <v>872</v>
      </c>
      <c r="D441" s="139" t="s">
        <v>169</v>
      </c>
      <c r="E441" s="139" t="s">
        <v>1091</v>
      </c>
      <c r="F441" s="121">
        <v>-494341.02</v>
      </c>
      <c r="G441" s="119"/>
      <c r="H441" s="48"/>
    </row>
    <row r="442" spans="1:8">
      <c r="A442" s="139" t="s">
        <v>1092</v>
      </c>
      <c r="B442" s="139" t="s">
        <v>1093</v>
      </c>
      <c r="C442" s="139" t="s">
        <v>872</v>
      </c>
      <c r="D442" s="139" t="s">
        <v>157</v>
      </c>
      <c r="E442" s="139" t="s">
        <v>100</v>
      </c>
      <c r="F442" s="121">
        <v>0</v>
      </c>
      <c r="G442" s="119"/>
      <c r="H442" s="48"/>
    </row>
    <row r="443" spans="1:8">
      <c r="A443" s="139" t="s">
        <v>1094</v>
      </c>
      <c r="B443" s="139" t="s">
        <v>1095</v>
      </c>
      <c r="C443" s="139" t="s">
        <v>872</v>
      </c>
      <c r="D443" s="139" t="s">
        <v>157</v>
      </c>
      <c r="E443" s="139" t="s">
        <v>100</v>
      </c>
      <c r="F443" s="121">
        <v>0</v>
      </c>
      <c r="G443" s="119"/>
      <c r="H443" s="48"/>
    </row>
    <row r="444" spans="1:8">
      <c r="A444" s="139" t="s">
        <v>1096</v>
      </c>
      <c r="B444" s="139" t="s">
        <v>1097</v>
      </c>
      <c r="C444" s="139" t="s">
        <v>872</v>
      </c>
      <c r="D444" s="139" t="s">
        <v>162</v>
      </c>
      <c r="E444" s="139" t="s">
        <v>100</v>
      </c>
      <c r="F444" s="121">
        <v>0</v>
      </c>
      <c r="G444" s="119"/>
      <c r="H444" s="48">
        <f t="shared" si="7"/>
        <v>0</v>
      </c>
    </row>
    <row r="445" spans="1:8">
      <c r="A445" s="139" t="s">
        <v>1098</v>
      </c>
      <c r="B445" s="139" t="s">
        <v>1099</v>
      </c>
      <c r="C445" s="139" t="s">
        <v>872</v>
      </c>
      <c r="D445" s="139" t="s">
        <v>162</v>
      </c>
      <c r="E445" s="139" t="s">
        <v>100</v>
      </c>
      <c r="F445" s="121">
        <v>0</v>
      </c>
      <c r="G445" s="119"/>
      <c r="H445" s="48">
        <f t="shared" si="7"/>
        <v>0</v>
      </c>
    </row>
    <row r="446" spans="1:8">
      <c r="A446" s="139" t="s">
        <v>1100</v>
      </c>
      <c r="B446" s="139" t="s">
        <v>1101</v>
      </c>
      <c r="C446" s="139" t="s">
        <v>872</v>
      </c>
      <c r="D446" s="139" t="s">
        <v>169</v>
      </c>
      <c r="E446" s="139" t="s">
        <v>1102</v>
      </c>
      <c r="F446" s="121">
        <v>0</v>
      </c>
      <c r="G446" s="119"/>
      <c r="H446" s="48"/>
    </row>
    <row r="447" spans="1:8">
      <c r="A447" s="139" t="s">
        <v>1103</v>
      </c>
      <c r="B447" s="139" t="s">
        <v>1104</v>
      </c>
      <c r="C447" s="139" t="s">
        <v>872</v>
      </c>
      <c r="D447" s="139" t="s">
        <v>157</v>
      </c>
      <c r="E447" s="139" t="s">
        <v>100</v>
      </c>
      <c r="F447" s="121">
        <v>0</v>
      </c>
      <c r="G447" s="119"/>
      <c r="H447" s="48"/>
    </row>
    <row r="448" spans="1:8">
      <c r="A448" s="139" t="s">
        <v>1105</v>
      </c>
      <c r="B448" s="139" t="s">
        <v>155</v>
      </c>
      <c r="C448" s="139" t="s">
        <v>872</v>
      </c>
      <c r="D448" s="139" t="s">
        <v>157</v>
      </c>
      <c r="E448" s="139" t="s">
        <v>100</v>
      </c>
      <c r="F448" s="121">
        <v>0</v>
      </c>
      <c r="G448" s="119"/>
      <c r="H448" s="48"/>
    </row>
    <row r="449" spans="1:8">
      <c r="A449" s="139" t="s">
        <v>1106</v>
      </c>
      <c r="B449" s="139" t="s">
        <v>1107</v>
      </c>
      <c r="C449" s="139" t="s">
        <v>872</v>
      </c>
      <c r="D449" s="139" t="s">
        <v>162</v>
      </c>
      <c r="E449" s="139" t="s">
        <v>100</v>
      </c>
      <c r="F449" s="121">
        <v>-453921.8</v>
      </c>
      <c r="G449" s="119"/>
      <c r="H449" s="48">
        <f t="shared" si="7"/>
        <v>-453921.8</v>
      </c>
    </row>
    <row r="450" spans="1:8">
      <c r="A450" s="139" t="s">
        <v>1108</v>
      </c>
      <c r="B450" s="139" t="s">
        <v>440</v>
      </c>
      <c r="C450" s="139" t="s">
        <v>872</v>
      </c>
      <c r="D450" s="139" t="s">
        <v>162</v>
      </c>
      <c r="E450" s="139" t="s">
        <v>100</v>
      </c>
      <c r="F450" s="121">
        <v>0</v>
      </c>
      <c r="G450" s="119"/>
      <c r="H450" s="48">
        <f t="shared" si="7"/>
        <v>0</v>
      </c>
    </row>
    <row r="451" spans="1:8">
      <c r="A451" s="139" t="s">
        <v>1109</v>
      </c>
      <c r="B451" s="139" t="s">
        <v>1110</v>
      </c>
      <c r="C451" s="139" t="s">
        <v>872</v>
      </c>
      <c r="D451" s="139" t="s">
        <v>162</v>
      </c>
      <c r="E451" s="139" t="s">
        <v>100</v>
      </c>
      <c r="F451" s="121">
        <v>-6126</v>
      </c>
      <c r="G451" s="119"/>
      <c r="H451" s="48">
        <f t="shared" si="7"/>
        <v>-6126</v>
      </c>
    </row>
    <row r="452" spans="1:8">
      <c r="A452" s="139" t="s">
        <v>1111</v>
      </c>
      <c r="B452" s="139" t="s">
        <v>481</v>
      </c>
      <c r="C452" s="139" t="s">
        <v>872</v>
      </c>
      <c r="D452" s="139" t="s">
        <v>162</v>
      </c>
      <c r="E452" s="139" t="s">
        <v>100</v>
      </c>
      <c r="F452" s="121">
        <v>454000</v>
      </c>
      <c r="G452" s="119"/>
      <c r="H452" s="48">
        <f t="shared" si="7"/>
        <v>454000</v>
      </c>
    </row>
    <row r="453" spans="1:8">
      <c r="A453" s="139" t="s">
        <v>1112</v>
      </c>
      <c r="B453" s="139" t="s">
        <v>278</v>
      </c>
      <c r="C453" s="139" t="s">
        <v>872</v>
      </c>
      <c r="D453" s="139" t="s">
        <v>169</v>
      </c>
      <c r="E453" s="139" t="s">
        <v>1113</v>
      </c>
      <c r="F453" s="121">
        <v>-6047.8</v>
      </c>
      <c r="G453" s="119"/>
      <c r="H453" s="48"/>
    </row>
    <row r="454" spans="1:8">
      <c r="A454" s="139" t="s">
        <v>1114</v>
      </c>
      <c r="B454" s="139" t="s">
        <v>1115</v>
      </c>
      <c r="C454" s="139" t="s">
        <v>872</v>
      </c>
      <c r="D454" s="139" t="s">
        <v>157</v>
      </c>
      <c r="E454" s="139" t="s">
        <v>100</v>
      </c>
      <c r="F454" s="121">
        <v>0</v>
      </c>
      <c r="G454" s="119"/>
      <c r="H454" s="48"/>
    </row>
    <row r="455" spans="1:8">
      <c r="A455" s="139" t="s">
        <v>1116</v>
      </c>
      <c r="B455" s="139" t="s">
        <v>220</v>
      </c>
      <c r="C455" s="139" t="s">
        <v>872</v>
      </c>
      <c r="D455" s="139" t="s">
        <v>162</v>
      </c>
      <c r="E455" s="139" t="s">
        <v>100</v>
      </c>
      <c r="F455" s="121">
        <v>0</v>
      </c>
      <c r="G455" s="119"/>
      <c r="H455" s="48">
        <f t="shared" si="7"/>
        <v>0</v>
      </c>
    </row>
    <row r="456" spans="1:8">
      <c r="A456" s="139" t="s">
        <v>1117</v>
      </c>
      <c r="B456" s="139" t="s">
        <v>1118</v>
      </c>
      <c r="C456" s="139" t="s">
        <v>872</v>
      </c>
      <c r="D456" s="139" t="s">
        <v>162</v>
      </c>
      <c r="E456" s="139" t="s">
        <v>100</v>
      </c>
      <c r="F456" s="121">
        <v>0</v>
      </c>
      <c r="G456" s="119"/>
      <c r="H456" s="48">
        <f t="shared" si="7"/>
        <v>0</v>
      </c>
    </row>
    <row r="457" spans="1:8">
      <c r="A457" s="139" t="s">
        <v>1119</v>
      </c>
      <c r="B457" s="139" t="s">
        <v>1120</v>
      </c>
      <c r="C457" s="139" t="s">
        <v>872</v>
      </c>
      <c r="D457" s="139" t="s">
        <v>162</v>
      </c>
      <c r="E457" s="139" t="s">
        <v>100</v>
      </c>
      <c r="F457" s="121">
        <v>0</v>
      </c>
      <c r="G457" s="119"/>
      <c r="H457" s="48">
        <f t="shared" si="7"/>
        <v>0</v>
      </c>
    </row>
    <row r="458" spans="1:8">
      <c r="A458" s="139" t="s">
        <v>1121</v>
      </c>
      <c r="B458" s="139" t="s">
        <v>1122</v>
      </c>
      <c r="C458" s="139" t="s">
        <v>872</v>
      </c>
      <c r="D458" s="139" t="s">
        <v>162</v>
      </c>
      <c r="E458" s="139" t="s">
        <v>100</v>
      </c>
      <c r="F458" s="121">
        <v>0</v>
      </c>
      <c r="G458" s="119"/>
      <c r="H458" s="48">
        <f t="shared" si="7"/>
        <v>0</v>
      </c>
    </row>
    <row r="459" spans="1:8">
      <c r="A459" s="139" t="s">
        <v>1123</v>
      </c>
      <c r="B459" s="139" t="s">
        <v>1124</v>
      </c>
      <c r="C459" s="139" t="s">
        <v>872</v>
      </c>
      <c r="D459" s="139" t="s">
        <v>162</v>
      </c>
      <c r="E459" s="139" t="s">
        <v>100</v>
      </c>
      <c r="F459" s="121">
        <v>0</v>
      </c>
      <c r="G459" s="119"/>
      <c r="H459" s="48">
        <f t="shared" si="7"/>
        <v>0</v>
      </c>
    </row>
    <row r="460" spans="1:8">
      <c r="A460" s="139" t="s">
        <v>1125</v>
      </c>
      <c r="B460" s="139" t="s">
        <v>1126</v>
      </c>
      <c r="C460" s="139" t="s">
        <v>872</v>
      </c>
      <c r="D460" s="139" t="s">
        <v>162</v>
      </c>
      <c r="E460" s="139" t="s">
        <v>100</v>
      </c>
      <c r="F460" s="121">
        <v>0</v>
      </c>
      <c r="G460" s="119"/>
      <c r="H460" s="48">
        <f t="shared" si="7"/>
        <v>0</v>
      </c>
    </row>
    <row r="461" spans="1:8">
      <c r="A461" s="139" t="s">
        <v>1127</v>
      </c>
      <c r="B461" s="139" t="s">
        <v>1128</v>
      </c>
      <c r="C461" s="139" t="s">
        <v>872</v>
      </c>
      <c r="D461" s="139" t="s">
        <v>162</v>
      </c>
      <c r="E461" s="139" t="s">
        <v>100</v>
      </c>
      <c r="F461" s="121">
        <v>0</v>
      </c>
      <c r="G461" s="119"/>
      <c r="H461" s="48">
        <f t="shared" si="7"/>
        <v>0</v>
      </c>
    </row>
    <row r="462" spans="1:8">
      <c r="A462" s="139" t="s">
        <v>1129</v>
      </c>
      <c r="B462" s="139" t="s">
        <v>1130</v>
      </c>
      <c r="C462" s="139" t="s">
        <v>872</v>
      </c>
      <c r="D462" s="139" t="s">
        <v>162</v>
      </c>
      <c r="E462" s="139" t="s">
        <v>100</v>
      </c>
      <c r="F462" s="121">
        <v>0</v>
      </c>
      <c r="G462" s="119"/>
      <c r="H462" s="48">
        <f t="shared" si="7"/>
        <v>0</v>
      </c>
    </row>
    <row r="463" spans="1:8">
      <c r="A463" s="139" t="s">
        <v>1131</v>
      </c>
      <c r="B463" s="139" t="s">
        <v>1132</v>
      </c>
      <c r="C463" s="139" t="s">
        <v>872</v>
      </c>
      <c r="D463" s="139" t="s">
        <v>162</v>
      </c>
      <c r="E463" s="139" t="s">
        <v>100</v>
      </c>
      <c r="F463" s="121">
        <v>0</v>
      </c>
      <c r="G463" s="119"/>
      <c r="H463" s="48">
        <f t="shared" si="7"/>
        <v>0</v>
      </c>
    </row>
    <row r="464" spans="1:8">
      <c r="A464" s="139" t="s">
        <v>1133</v>
      </c>
      <c r="B464" s="139" t="s">
        <v>1134</v>
      </c>
      <c r="C464" s="139" t="s">
        <v>872</v>
      </c>
      <c r="D464" s="139" t="s">
        <v>162</v>
      </c>
      <c r="E464" s="139" t="s">
        <v>100</v>
      </c>
      <c r="F464" s="121">
        <v>0</v>
      </c>
      <c r="G464" s="119"/>
      <c r="H464" s="48">
        <f t="shared" si="7"/>
        <v>0</v>
      </c>
    </row>
    <row r="465" spans="1:8">
      <c r="A465" s="139" t="s">
        <v>1135</v>
      </c>
      <c r="B465" s="139" t="s">
        <v>1136</v>
      </c>
      <c r="C465" s="139" t="s">
        <v>872</v>
      </c>
      <c r="D465" s="139" t="s">
        <v>162</v>
      </c>
      <c r="E465" s="139" t="s">
        <v>100</v>
      </c>
      <c r="F465" s="121">
        <v>0</v>
      </c>
      <c r="G465" s="119"/>
      <c r="H465" s="48">
        <f t="shared" si="7"/>
        <v>0</v>
      </c>
    </row>
    <row r="466" spans="1:8">
      <c r="A466" s="139" t="s">
        <v>1137</v>
      </c>
      <c r="B466" s="139" t="s">
        <v>1138</v>
      </c>
      <c r="C466" s="139" t="s">
        <v>872</v>
      </c>
      <c r="D466" s="139" t="s">
        <v>162</v>
      </c>
      <c r="E466" s="139" t="s">
        <v>100</v>
      </c>
      <c r="F466" s="121">
        <v>0</v>
      </c>
      <c r="G466" s="119"/>
      <c r="H466" s="48">
        <f t="shared" si="7"/>
        <v>0</v>
      </c>
    </row>
    <row r="467" spans="1:8">
      <c r="A467" s="139" t="s">
        <v>1139</v>
      </c>
      <c r="B467" s="139" t="s">
        <v>1140</v>
      </c>
      <c r="C467" s="139" t="s">
        <v>872</v>
      </c>
      <c r="D467" s="139" t="s">
        <v>162</v>
      </c>
      <c r="E467" s="139" t="s">
        <v>100</v>
      </c>
      <c r="F467" s="121">
        <v>0</v>
      </c>
      <c r="G467" s="119"/>
      <c r="H467" s="48">
        <f t="shared" si="7"/>
        <v>0</v>
      </c>
    </row>
    <row r="468" spans="1:8">
      <c r="A468" s="139" t="s">
        <v>1141</v>
      </c>
      <c r="B468" s="139" t="s">
        <v>1142</v>
      </c>
      <c r="C468" s="139" t="s">
        <v>872</v>
      </c>
      <c r="D468" s="139" t="s">
        <v>162</v>
      </c>
      <c r="E468" s="139" t="s">
        <v>100</v>
      </c>
      <c r="F468" s="121">
        <v>0</v>
      </c>
      <c r="G468" s="119"/>
      <c r="H468" s="48">
        <f t="shared" si="7"/>
        <v>0</v>
      </c>
    </row>
    <row r="469" spans="1:8">
      <c r="A469" s="139" t="s">
        <v>1143</v>
      </c>
      <c r="B469" s="139" t="s">
        <v>1144</v>
      </c>
      <c r="C469" s="139" t="s">
        <v>872</v>
      </c>
      <c r="D469" s="139" t="s">
        <v>162</v>
      </c>
      <c r="E469" s="139" t="s">
        <v>100</v>
      </c>
      <c r="F469" s="121">
        <v>0</v>
      </c>
      <c r="G469" s="119"/>
      <c r="H469" s="48">
        <f t="shared" si="7"/>
        <v>0</v>
      </c>
    </row>
    <row r="470" spans="1:8">
      <c r="A470" s="139" t="s">
        <v>1145</v>
      </c>
      <c r="B470" s="139" t="s">
        <v>1146</v>
      </c>
      <c r="C470" s="139" t="s">
        <v>872</v>
      </c>
      <c r="D470" s="139" t="s">
        <v>162</v>
      </c>
      <c r="E470" s="139" t="s">
        <v>100</v>
      </c>
      <c r="F470" s="121">
        <v>0</v>
      </c>
      <c r="G470" s="119"/>
      <c r="H470" s="48">
        <f t="shared" ref="H470:H533" si="8">SUM(F470:G470)</f>
        <v>0</v>
      </c>
    </row>
    <row r="471" spans="1:8">
      <c r="A471" s="139" t="s">
        <v>1147</v>
      </c>
      <c r="B471" s="139" t="s">
        <v>1148</v>
      </c>
      <c r="C471" s="139" t="s">
        <v>872</v>
      </c>
      <c r="D471" s="139" t="s">
        <v>162</v>
      </c>
      <c r="E471" s="139" t="s">
        <v>100</v>
      </c>
      <c r="F471" s="121">
        <v>0</v>
      </c>
      <c r="G471" s="119"/>
      <c r="H471" s="48">
        <f t="shared" si="8"/>
        <v>0</v>
      </c>
    </row>
    <row r="472" spans="1:8">
      <c r="A472" s="139" t="s">
        <v>1149</v>
      </c>
      <c r="B472" s="139" t="s">
        <v>1150</v>
      </c>
      <c r="C472" s="139" t="s">
        <v>872</v>
      </c>
      <c r="D472" s="139" t="s">
        <v>162</v>
      </c>
      <c r="E472" s="139" t="s">
        <v>100</v>
      </c>
      <c r="F472" s="121">
        <v>0</v>
      </c>
      <c r="G472" s="119"/>
      <c r="H472" s="48">
        <f t="shared" si="8"/>
        <v>0</v>
      </c>
    </row>
    <row r="473" spans="1:8">
      <c r="A473" s="139" t="s">
        <v>1151</v>
      </c>
      <c r="B473" s="139" t="s">
        <v>1152</v>
      </c>
      <c r="C473" s="139" t="s">
        <v>872</v>
      </c>
      <c r="D473" s="139" t="s">
        <v>169</v>
      </c>
      <c r="E473" s="139" t="s">
        <v>1153</v>
      </c>
      <c r="F473" s="121">
        <v>0</v>
      </c>
      <c r="G473" s="119"/>
      <c r="H473" s="48"/>
    </row>
    <row r="474" spans="1:8">
      <c r="A474" s="139" t="s">
        <v>1154</v>
      </c>
      <c r="B474" s="139" t="s">
        <v>1155</v>
      </c>
      <c r="C474" s="139" t="s">
        <v>872</v>
      </c>
      <c r="D474" s="139" t="s">
        <v>169</v>
      </c>
      <c r="E474" s="139" t="s">
        <v>1156</v>
      </c>
      <c r="F474" s="121">
        <v>-6047.8</v>
      </c>
      <c r="G474" s="119"/>
      <c r="H474" s="48"/>
    </row>
    <row r="475" spans="1:8">
      <c r="A475" s="139" t="s">
        <v>1157</v>
      </c>
      <c r="B475" s="139" t="s">
        <v>1158</v>
      </c>
      <c r="C475" s="139" t="s">
        <v>872</v>
      </c>
      <c r="D475" s="139" t="s">
        <v>169</v>
      </c>
      <c r="E475" s="139" t="s">
        <v>1159</v>
      </c>
      <c r="F475" s="121">
        <v>-6047.8</v>
      </c>
      <c r="G475" s="119"/>
      <c r="H475" s="48"/>
    </row>
    <row r="476" spans="1:8">
      <c r="A476" s="139" t="s">
        <v>1160</v>
      </c>
      <c r="B476" s="139" t="s">
        <v>1161</v>
      </c>
      <c r="C476" s="139" t="s">
        <v>872</v>
      </c>
      <c r="D476" s="139" t="s">
        <v>157</v>
      </c>
      <c r="E476" s="139" t="s">
        <v>100</v>
      </c>
      <c r="F476" s="121">
        <v>0</v>
      </c>
      <c r="G476" s="119"/>
      <c r="H476" s="48"/>
    </row>
    <row r="477" spans="1:8">
      <c r="A477" s="139" t="s">
        <v>1162</v>
      </c>
      <c r="B477" s="139" t="s">
        <v>1163</v>
      </c>
      <c r="C477" s="139" t="s">
        <v>872</v>
      </c>
      <c r="D477" s="139" t="s">
        <v>162</v>
      </c>
      <c r="E477" s="139" t="s">
        <v>100</v>
      </c>
      <c r="F477" s="121">
        <v>-3880</v>
      </c>
      <c r="G477" s="119"/>
      <c r="H477" s="48">
        <f t="shared" si="8"/>
        <v>-3880</v>
      </c>
    </row>
    <row r="478" spans="1:8">
      <c r="A478" s="139" t="s">
        <v>1164</v>
      </c>
      <c r="B478" s="139" t="s">
        <v>1165</v>
      </c>
      <c r="C478" s="139" t="s">
        <v>872</v>
      </c>
      <c r="D478" s="139" t="s">
        <v>162</v>
      </c>
      <c r="E478" s="139" t="s">
        <v>100</v>
      </c>
      <c r="F478" s="121">
        <v>0</v>
      </c>
      <c r="G478" s="119"/>
      <c r="H478" s="48">
        <f t="shared" si="8"/>
        <v>0</v>
      </c>
    </row>
    <row r="479" spans="1:8">
      <c r="A479" s="139" t="s">
        <v>1166</v>
      </c>
      <c r="B479" s="139" t="s">
        <v>1167</v>
      </c>
      <c r="C479" s="139" t="s">
        <v>872</v>
      </c>
      <c r="D479" s="139" t="s">
        <v>162</v>
      </c>
      <c r="E479" s="139" t="s">
        <v>100</v>
      </c>
      <c r="F479" s="121">
        <v>0</v>
      </c>
      <c r="G479" s="119"/>
      <c r="H479" s="48">
        <f t="shared" si="8"/>
        <v>0</v>
      </c>
    </row>
    <row r="480" spans="1:8">
      <c r="A480" s="139" t="s">
        <v>1168</v>
      </c>
      <c r="B480" s="139" t="s">
        <v>1169</v>
      </c>
      <c r="C480" s="139" t="s">
        <v>872</v>
      </c>
      <c r="D480" s="139" t="s">
        <v>162</v>
      </c>
      <c r="E480" s="139" t="s">
        <v>100</v>
      </c>
      <c r="F480" s="121">
        <v>0</v>
      </c>
      <c r="G480" s="119"/>
      <c r="H480" s="48">
        <f t="shared" si="8"/>
        <v>0</v>
      </c>
    </row>
    <row r="481" spans="1:8">
      <c r="A481" s="139" t="s">
        <v>1170</v>
      </c>
      <c r="B481" s="139" t="s">
        <v>1171</v>
      </c>
      <c r="C481" s="139" t="s">
        <v>872</v>
      </c>
      <c r="D481" s="139" t="s">
        <v>162</v>
      </c>
      <c r="E481" s="139" t="s">
        <v>100</v>
      </c>
      <c r="F481" s="121">
        <v>0</v>
      </c>
      <c r="G481" s="119"/>
      <c r="H481" s="48">
        <f t="shared" si="8"/>
        <v>0</v>
      </c>
    </row>
    <row r="482" spans="1:8">
      <c r="A482" s="139" t="s">
        <v>1172</v>
      </c>
      <c r="B482" s="139" t="s">
        <v>1173</v>
      </c>
      <c r="C482" s="139" t="s">
        <v>872</v>
      </c>
      <c r="D482" s="139" t="s">
        <v>162</v>
      </c>
      <c r="E482" s="139" t="s">
        <v>100</v>
      </c>
      <c r="F482" s="121">
        <v>-270</v>
      </c>
      <c r="G482" s="119"/>
      <c r="H482" s="48">
        <f t="shared" si="8"/>
        <v>-270</v>
      </c>
    </row>
    <row r="483" spans="1:8">
      <c r="A483" s="139" t="s">
        <v>1174</v>
      </c>
      <c r="B483" s="139" t="s">
        <v>1175</v>
      </c>
      <c r="C483" s="139" t="s">
        <v>872</v>
      </c>
      <c r="D483" s="139" t="s">
        <v>162</v>
      </c>
      <c r="E483" s="139" t="s">
        <v>100</v>
      </c>
      <c r="F483" s="121">
        <v>-1875</v>
      </c>
      <c r="G483" s="119"/>
      <c r="H483" s="48">
        <f t="shared" si="8"/>
        <v>-1875</v>
      </c>
    </row>
    <row r="484" spans="1:8">
      <c r="A484" s="139" t="s">
        <v>1176</v>
      </c>
      <c r="B484" s="139" t="s">
        <v>1177</v>
      </c>
      <c r="C484" s="139" t="s">
        <v>872</v>
      </c>
      <c r="D484" s="139" t="s">
        <v>162</v>
      </c>
      <c r="E484" s="139" t="s">
        <v>100</v>
      </c>
      <c r="F484" s="121">
        <v>-442</v>
      </c>
      <c r="G484" s="119"/>
      <c r="H484" s="48">
        <f t="shared" si="8"/>
        <v>-442</v>
      </c>
    </row>
    <row r="485" spans="1:8">
      <c r="A485" s="139" t="s">
        <v>1178</v>
      </c>
      <c r="B485" s="139" t="s">
        <v>1179</v>
      </c>
      <c r="C485" s="139" t="s">
        <v>872</v>
      </c>
      <c r="D485" s="139" t="s">
        <v>162</v>
      </c>
      <c r="E485" s="139" t="s">
        <v>100</v>
      </c>
      <c r="F485" s="121">
        <v>0</v>
      </c>
      <c r="G485" s="119"/>
      <c r="H485" s="48">
        <f t="shared" si="8"/>
        <v>0</v>
      </c>
    </row>
    <row r="486" spans="1:8">
      <c r="A486" s="139" t="s">
        <v>1180</v>
      </c>
      <c r="B486" s="139" t="s">
        <v>1181</v>
      </c>
      <c r="C486" s="139" t="s">
        <v>872</v>
      </c>
      <c r="D486" s="139" t="s">
        <v>162</v>
      </c>
      <c r="E486" s="139" t="s">
        <v>100</v>
      </c>
      <c r="F486" s="121">
        <v>-4924.12</v>
      </c>
      <c r="G486" s="119"/>
      <c r="H486" s="48">
        <f t="shared" si="8"/>
        <v>-4924.12</v>
      </c>
    </row>
    <row r="487" spans="1:8">
      <c r="A487" s="139" t="s">
        <v>1182</v>
      </c>
      <c r="B487" s="139" t="s">
        <v>1183</v>
      </c>
      <c r="C487" s="139" t="s">
        <v>872</v>
      </c>
      <c r="D487" s="139" t="s">
        <v>162</v>
      </c>
      <c r="E487" s="139" t="s">
        <v>100</v>
      </c>
      <c r="F487" s="121">
        <v>-103131.83</v>
      </c>
      <c r="G487" s="119"/>
      <c r="H487" s="48">
        <f t="shared" si="8"/>
        <v>-103131.83</v>
      </c>
    </row>
    <row r="488" spans="1:8">
      <c r="A488" s="139" t="s">
        <v>1186</v>
      </c>
      <c r="B488" s="139" t="s">
        <v>1187</v>
      </c>
      <c r="C488" s="139" t="s">
        <v>872</v>
      </c>
      <c r="D488" s="139" t="s">
        <v>162</v>
      </c>
      <c r="E488" s="139" t="s">
        <v>100</v>
      </c>
      <c r="F488" s="121">
        <v>0</v>
      </c>
      <c r="G488" s="119"/>
      <c r="H488" s="48">
        <f t="shared" si="8"/>
        <v>0</v>
      </c>
    </row>
    <row r="489" spans="1:8">
      <c r="A489" s="139" t="s">
        <v>1188</v>
      </c>
      <c r="B489" s="139" t="s">
        <v>2180</v>
      </c>
      <c r="C489" s="139" t="s">
        <v>872</v>
      </c>
      <c r="D489" s="139" t="s">
        <v>162</v>
      </c>
      <c r="E489" s="139" t="s">
        <v>100</v>
      </c>
      <c r="F489" s="121">
        <v>0</v>
      </c>
      <c r="G489" s="119"/>
      <c r="H489" s="48">
        <f t="shared" si="8"/>
        <v>0</v>
      </c>
    </row>
    <row r="490" spans="1:8">
      <c r="A490" s="139" t="s">
        <v>1190</v>
      </c>
      <c r="B490" s="139" t="s">
        <v>1191</v>
      </c>
      <c r="C490" s="139" t="s">
        <v>872</v>
      </c>
      <c r="D490" s="139" t="s">
        <v>162</v>
      </c>
      <c r="E490" s="139" t="s">
        <v>100</v>
      </c>
      <c r="F490" s="121">
        <v>0</v>
      </c>
      <c r="G490" s="119"/>
      <c r="H490" s="48">
        <f t="shared" si="8"/>
        <v>0</v>
      </c>
    </row>
    <row r="491" spans="1:8">
      <c r="A491" s="139" t="s">
        <v>1192</v>
      </c>
      <c r="B491" s="139" t="s">
        <v>1193</v>
      </c>
      <c r="C491" s="139" t="s">
        <v>872</v>
      </c>
      <c r="D491" s="139" t="s">
        <v>162</v>
      </c>
      <c r="E491" s="139" t="s">
        <v>100</v>
      </c>
      <c r="F491" s="121">
        <v>1515.62</v>
      </c>
      <c r="G491" s="119">
        <v>500000</v>
      </c>
      <c r="H491" s="48">
        <f t="shared" si="8"/>
        <v>501515.62</v>
      </c>
    </row>
    <row r="492" spans="1:8">
      <c r="A492" s="139" t="s">
        <v>1194</v>
      </c>
      <c r="B492" s="139" t="s">
        <v>2181</v>
      </c>
      <c r="C492" s="139" t="s">
        <v>872</v>
      </c>
      <c r="D492" s="139" t="s">
        <v>162</v>
      </c>
      <c r="E492" s="139" t="s">
        <v>100</v>
      </c>
      <c r="F492" s="121">
        <v>0</v>
      </c>
      <c r="G492" s="119"/>
      <c r="H492" s="48">
        <f t="shared" si="8"/>
        <v>0</v>
      </c>
    </row>
    <row r="493" spans="1:8">
      <c r="A493" s="139" t="s">
        <v>1196</v>
      </c>
      <c r="B493" s="139" t="s">
        <v>1197</v>
      </c>
      <c r="C493" s="139" t="s">
        <v>872</v>
      </c>
      <c r="D493" s="139" t="s">
        <v>162</v>
      </c>
      <c r="E493" s="139" t="s">
        <v>100</v>
      </c>
      <c r="F493" s="121">
        <v>-53297.15</v>
      </c>
      <c r="G493" s="119">
        <v>935</v>
      </c>
      <c r="H493" s="48">
        <f t="shared" si="8"/>
        <v>-52362.15</v>
      </c>
    </row>
    <row r="494" spans="1:8">
      <c r="A494" s="139" t="s">
        <v>1198</v>
      </c>
      <c r="B494" s="139" t="s">
        <v>1199</v>
      </c>
      <c r="C494" s="139" t="s">
        <v>872</v>
      </c>
      <c r="D494" s="139" t="s">
        <v>162</v>
      </c>
      <c r="E494" s="139" t="s">
        <v>100</v>
      </c>
      <c r="F494" s="121">
        <v>-78145.119999999995</v>
      </c>
      <c r="G494" s="119"/>
      <c r="H494" s="48">
        <f t="shared" si="8"/>
        <v>-78145.119999999995</v>
      </c>
    </row>
    <row r="495" spans="1:8">
      <c r="A495" s="139" t="s">
        <v>1200</v>
      </c>
      <c r="B495" s="139" t="s">
        <v>1201</v>
      </c>
      <c r="C495" s="139" t="s">
        <v>872</v>
      </c>
      <c r="D495" s="139" t="s">
        <v>169</v>
      </c>
      <c r="E495" s="139" t="s">
        <v>1202</v>
      </c>
      <c r="F495" s="121">
        <v>-244449.6</v>
      </c>
      <c r="G495" s="119"/>
      <c r="H495" s="48"/>
    </row>
    <row r="496" spans="1:8">
      <c r="A496" s="139" t="s">
        <v>1203</v>
      </c>
      <c r="B496" s="139" t="s">
        <v>1204</v>
      </c>
      <c r="C496" s="139" t="s">
        <v>872</v>
      </c>
      <c r="D496" s="139" t="s">
        <v>157</v>
      </c>
      <c r="E496" s="139" t="s">
        <v>100</v>
      </c>
      <c r="F496" s="121">
        <v>0</v>
      </c>
      <c r="G496" s="119"/>
      <c r="H496" s="48"/>
    </row>
    <row r="497" spans="1:8">
      <c r="A497" s="139" t="s">
        <v>1205</v>
      </c>
      <c r="B497" s="139" t="s">
        <v>1206</v>
      </c>
      <c r="C497" s="139" t="s">
        <v>872</v>
      </c>
      <c r="D497" s="139" t="s">
        <v>162</v>
      </c>
      <c r="E497" s="139" t="s">
        <v>100</v>
      </c>
      <c r="F497" s="121">
        <v>-1449957.75</v>
      </c>
      <c r="G497" s="119">
        <f>-860.92-11350.06-2721.95</f>
        <v>-14932.93</v>
      </c>
      <c r="H497" s="48">
        <f t="shared" si="8"/>
        <v>-1464890.68</v>
      </c>
    </row>
    <row r="498" spans="1:8">
      <c r="A498" s="139" t="s">
        <v>1207</v>
      </c>
      <c r="B498" s="139" t="s">
        <v>1208</v>
      </c>
      <c r="C498" s="139" t="s">
        <v>872</v>
      </c>
      <c r="D498" s="139" t="s">
        <v>169</v>
      </c>
      <c r="E498" s="139" t="s">
        <v>1209</v>
      </c>
      <c r="F498" s="121">
        <v>-1449957.75</v>
      </c>
      <c r="G498" s="119"/>
      <c r="H498" s="48"/>
    </row>
    <row r="499" spans="1:8">
      <c r="A499" s="139" t="s">
        <v>1210</v>
      </c>
      <c r="B499" s="139" t="s">
        <v>1211</v>
      </c>
      <c r="C499" s="139" t="s">
        <v>872</v>
      </c>
      <c r="D499" s="139" t="s">
        <v>157</v>
      </c>
      <c r="E499" s="139" t="s">
        <v>100</v>
      </c>
      <c r="F499" s="121">
        <v>0</v>
      </c>
      <c r="G499" s="119"/>
      <c r="H499" s="48"/>
    </row>
    <row r="500" spans="1:8">
      <c r="A500" s="139" t="s">
        <v>1212</v>
      </c>
      <c r="B500" s="139" t="s">
        <v>1213</v>
      </c>
      <c r="C500" s="139" t="s">
        <v>872</v>
      </c>
      <c r="D500" s="139" t="s">
        <v>162</v>
      </c>
      <c r="E500" s="139" t="s">
        <v>100</v>
      </c>
      <c r="F500" s="121">
        <v>18855</v>
      </c>
      <c r="G500" s="119"/>
      <c r="H500" s="48">
        <f t="shared" si="8"/>
        <v>18855</v>
      </c>
    </row>
    <row r="501" spans="1:8">
      <c r="A501" s="139" t="s">
        <v>1214</v>
      </c>
      <c r="B501" s="139" t="s">
        <v>1215</v>
      </c>
      <c r="C501" s="139" t="s">
        <v>872</v>
      </c>
      <c r="D501" s="139" t="s">
        <v>162</v>
      </c>
      <c r="E501" s="139" t="s">
        <v>100</v>
      </c>
      <c r="F501" s="121">
        <v>5955</v>
      </c>
      <c r="G501" s="119"/>
      <c r="H501" s="48">
        <f t="shared" si="8"/>
        <v>5955</v>
      </c>
    </row>
    <row r="502" spans="1:8">
      <c r="A502" s="139" t="s">
        <v>1216</v>
      </c>
      <c r="B502" s="139" t="s">
        <v>1217</v>
      </c>
      <c r="C502" s="139" t="s">
        <v>872</v>
      </c>
      <c r="D502" s="139" t="s">
        <v>162</v>
      </c>
      <c r="E502" s="139" t="s">
        <v>100</v>
      </c>
      <c r="F502" s="121">
        <v>-18215.560000000001</v>
      </c>
      <c r="G502" s="119"/>
      <c r="H502" s="48">
        <f t="shared" si="8"/>
        <v>-18215.560000000001</v>
      </c>
    </row>
    <row r="503" spans="1:8">
      <c r="A503" s="139" t="s">
        <v>1218</v>
      </c>
      <c r="B503" s="139" t="s">
        <v>1219</v>
      </c>
      <c r="C503" s="139" t="s">
        <v>872</v>
      </c>
      <c r="D503" s="139" t="s">
        <v>162</v>
      </c>
      <c r="E503" s="139" t="s">
        <v>100</v>
      </c>
      <c r="F503" s="121">
        <v>-25179.66</v>
      </c>
      <c r="G503" s="119"/>
      <c r="H503" s="48">
        <f t="shared" si="8"/>
        <v>-25179.66</v>
      </c>
    </row>
    <row r="504" spans="1:8">
      <c r="A504" s="139" t="s">
        <v>1220</v>
      </c>
      <c r="B504" s="139" t="s">
        <v>1221</v>
      </c>
      <c r="C504" s="139" t="s">
        <v>872</v>
      </c>
      <c r="D504" s="139" t="s">
        <v>162</v>
      </c>
      <c r="E504" s="139" t="s">
        <v>100</v>
      </c>
      <c r="F504" s="121">
        <v>-18976.240000000002</v>
      </c>
      <c r="G504" s="119"/>
      <c r="H504" s="48">
        <f t="shared" si="8"/>
        <v>-18976.240000000002</v>
      </c>
    </row>
    <row r="505" spans="1:8">
      <c r="A505" s="139" t="s">
        <v>1222</v>
      </c>
      <c r="B505" s="139" t="s">
        <v>1223</v>
      </c>
      <c r="C505" s="139" t="s">
        <v>872</v>
      </c>
      <c r="D505" s="139" t="s">
        <v>162</v>
      </c>
      <c r="E505" s="139" t="s">
        <v>100</v>
      </c>
      <c r="F505" s="121">
        <v>-124297.53</v>
      </c>
      <c r="G505" s="119"/>
      <c r="H505" s="48">
        <f t="shared" si="8"/>
        <v>-124297.53</v>
      </c>
    </row>
    <row r="506" spans="1:8">
      <c r="A506" s="139" t="s">
        <v>1224</v>
      </c>
      <c r="B506" s="139" t="s">
        <v>1225</v>
      </c>
      <c r="C506" s="139" t="s">
        <v>872</v>
      </c>
      <c r="D506" s="139" t="s">
        <v>162</v>
      </c>
      <c r="E506" s="139" t="s">
        <v>100</v>
      </c>
      <c r="F506" s="121">
        <v>0</v>
      </c>
      <c r="G506" s="119"/>
      <c r="H506" s="48">
        <f t="shared" si="8"/>
        <v>0</v>
      </c>
    </row>
    <row r="507" spans="1:8">
      <c r="A507" s="139" t="s">
        <v>1226</v>
      </c>
      <c r="B507" s="139" t="s">
        <v>1227</v>
      </c>
      <c r="C507" s="139" t="s">
        <v>872</v>
      </c>
      <c r="D507" s="139" t="s">
        <v>162</v>
      </c>
      <c r="E507" s="139" t="s">
        <v>100</v>
      </c>
      <c r="F507" s="121">
        <v>0</v>
      </c>
      <c r="G507" s="119"/>
      <c r="H507" s="48">
        <f t="shared" si="8"/>
        <v>0</v>
      </c>
    </row>
    <row r="508" spans="1:8">
      <c r="A508" s="139" t="s">
        <v>1228</v>
      </c>
      <c r="B508" s="139" t="s">
        <v>1229</v>
      </c>
      <c r="C508" s="139" t="s">
        <v>872</v>
      </c>
      <c r="D508" s="139" t="s">
        <v>169</v>
      </c>
      <c r="E508" s="139" t="s">
        <v>1230</v>
      </c>
      <c r="F508" s="121">
        <v>-161858.99</v>
      </c>
      <c r="G508" s="119"/>
      <c r="H508" s="48"/>
    </row>
    <row r="509" spans="1:8">
      <c r="A509" s="139" t="s">
        <v>1231</v>
      </c>
      <c r="B509" s="139" t="s">
        <v>1232</v>
      </c>
      <c r="C509" s="139" t="s">
        <v>872</v>
      </c>
      <c r="D509" s="139" t="s">
        <v>157</v>
      </c>
      <c r="E509" s="139" t="s">
        <v>100</v>
      </c>
      <c r="F509" s="121">
        <v>0</v>
      </c>
      <c r="G509" s="119"/>
      <c r="H509" s="48"/>
    </row>
    <row r="510" spans="1:8">
      <c r="A510" s="139" t="s">
        <v>1233</v>
      </c>
      <c r="B510" s="139" t="s">
        <v>1234</v>
      </c>
      <c r="C510" s="139" t="s">
        <v>872</v>
      </c>
      <c r="D510" s="139" t="s">
        <v>162</v>
      </c>
      <c r="E510" s="139" t="s">
        <v>100</v>
      </c>
      <c r="F510" s="121">
        <v>-6199.4</v>
      </c>
      <c r="G510" s="119"/>
      <c r="H510" s="48">
        <f t="shared" si="8"/>
        <v>-6199.4</v>
      </c>
    </row>
    <row r="511" spans="1:8">
      <c r="A511" s="139" t="s">
        <v>1235</v>
      </c>
      <c r="B511" s="139" t="s">
        <v>1236</v>
      </c>
      <c r="C511" s="139" t="s">
        <v>872</v>
      </c>
      <c r="D511" s="139" t="s">
        <v>162</v>
      </c>
      <c r="E511" s="139" t="s">
        <v>100</v>
      </c>
      <c r="F511" s="121">
        <v>0</v>
      </c>
      <c r="G511" s="119"/>
      <c r="H511" s="48">
        <f t="shared" si="8"/>
        <v>0</v>
      </c>
    </row>
    <row r="512" spans="1:8">
      <c r="A512" s="139" t="s">
        <v>1237</v>
      </c>
      <c r="B512" s="139" t="s">
        <v>1238</v>
      </c>
      <c r="C512" s="139" t="s">
        <v>872</v>
      </c>
      <c r="D512" s="139" t="s">
        <v>162</v>
      </c>
      <c r="E512" s="139" t="s">
        <v>100</v>
      </c>
      <c r="F512" s="121">
        <v>-6620.6</v>
      </c>
      <c r="G512" s="119"/>
      <c r="H512" s="48">
        <f t="shared" si="8"/>
        <v>-6620.6</v>
      </c>
    </row>
    <row r="513" spans="1:8">
      <c r="A513" s="139" t="s">
        <v>1239</v>
      </c>
      <c r="B513" s="139" t="s">
        <v>1240</v>
      </c>
      <c r="C513" s="139" t="s">
        <v>872</v>
      </c>
      <c r="D513" s="139" t="s">
        <v>162</v>
      </c>
      <c r="E513" s="139" t="s">
        <v>100</v>
      </c>
      <c r="F513" s="121">
        <v>-96474.59</v>
      </c>
      <c r="G513" s="119">
        <f>-2964.64-3365.63</f>
        <v>-6330.27</v>
      </c>
      <c r="H513" s="48">
        <f t="shared" si="8"/>
        <v>-102804.86</v>
      </c>
    </row>
    <row r="514" spans="1:8">
      <c r="A514" s="139" t="s">
        <v>1241</v>
      </c>
      <c r="B514" s="139" t="s">
        <v>1242</v>
      </c>
      <c r="C514" s="139" t="s">
        <v>872</v>
      </c>
      <c r="D514" s="139" t="s">
        <v>162</v>
      </c>
      <c r="E514" s="139" t="s">
        <v>100</v>
      </c>
      <c r="F514" s="121">
        <v>-125000</v>
      </c>
      <c r="G514" s="119"/>
      <c r="H514" s="48">
        <f t="shared" si="8"/>
        <v>-125000</v>
      </c>
    </row>
    <row r="515" spans="1:8">
      <c r="A515" s="139" t="s">
        <v>1243</v>
      </c>
      <c r="B515" s="139" t="s">
        <v>1244</v>
      </c>
      <c r="C515" s="139" t="s">
        <v>872</v>
      </c>
      <c r="D515" s="139" t="s">
        <v>162</v>
      </c>
      <c r="E515" s="139" t="s">
        <v>100</v>
      </c>
      <c r="F515" s="121">
        <v>0</v>
      </c>
      <c r="G515" s="119"/>
      <c r="H515" s="48">
        <f t="shared" si="8"/>
        <v>0</v>
      </c>
    </row>
    <row r="516" spans="1:8">
      <c r="A516" s="139" t="s">
        <v>1245</v>
      </c>
      <c r="B516" s="139" t="s">
        <v>1246</v>
      </c>
      <c r="C516" s="139" t="s">
        <v>872</v>
      </c>
      <c r="D516" s="139" t="s">
        <v>162</v>
      </c>
      <c r="E516" s="139" t="s">
        <v>100</v>
      </c>
      <c r="F516" s="121">
        <v>-227652.56</v>
      </c>
      <c r="G516" s="119">
        <f>-721.89-223.21</f>
        <v>-945.1</v>
      </c>
      <c r="H516" s="48">
        <f t="shared" si="8"/>
        <v>-228597.66</v>
      </c>
    </row>
    <row r="517" spans="1:8">
      <c r="A517" s="139" t="s">
        <v>1247</v>
      </c>
      <c r="B517" s="139" t="s">
        <v>1248</v>
      </c>
      <c r="C517" s="139" t="s">
        <v>872</v>
      </c>
      <c r="D517" s="139" t="s">
        <v>162</v>
      </c>
      <c r="E517" s="139" t="s">
        <v>100</v>
      </c>
      <c r="F517" s="121">
        <v>0</v>
      </c>
      <c r="G517" s="119"/>
      <c r="H517" s="48">
        <f t="shared" si="8"/>
        <v>0</v>
      </c>
    </row>
    <row r="518" spans="1:8">
      <c r="A518" s="139" t="s">
        <v>1249</v>
      </c>
      <c r="B518" s="139" t="s">
        <v>1250</v>
      </c>
      <c r="C518" s="139" t="s">
        <v>872</v>
      </c>
      <c r="D518" s="139" t="s">
        <v>169</v>
      </c>
      <c r="E518" s="139" t="s">
        <v>1251</v>
      </c>
      <c r="F518" s="121">
        <v>-461947.15</v>
      </c>
      <c r="G518" s="119"/>
      <c r="H518" s="48"/>
    </row>
    <row r="519" spans="1:8">
      <c r="A519" s="139" t="s">
        <v>1252</v>
      </c>
      <c r="B519" s="139" t="s">
        <v>1253</v>
      </c>
      <c r="C519" s="139" t="s">
        <v>872</v>
      </c>
      <c r="D519" s="139" t="s">
        <v>157</v>
      </c>
      <c r="E519" s="139" t="s">
        <v>100</v>
      </c>
      <c r="F519" s="121">
        <v>0</v>
      </c>
      <c r="G519" s="119"/>
      <c r="H519" s="48"/>
    </row>
    <row r="520" spans="1:8">
      <c r="A520" s="139" t="s">
        <v>1254</v>
      </c>
      <c r="B520" s="139" t="s">
        <v>155</v>
      </c>
      <c r="C520" s="139" t="s">
        <v>872</v>
      </c>
      <c r="D520" s="139" t="s">
        <v>157</v>
      </c>
      <c r="E520" s="139" t="s">
        <v>100</v>
      </c>
      <c r="F520" s="121">
        <v>0</v>
      </c>
      <c r="G520" s="119"/>
      <c r="H520" s="48"/>
    </row>
    <row r="521" spans="1:8">
      <c r="A521" s="139" t="s">
        <v>1255</v>
      </c>
      <c r="B521" s="139" t="s">
        <v>1256</v>
      </c>
      <c r="C521" s="139" t="s">
        <v>872</v>
      </c>
      <c r="D521" s="139" t="s">
        <v>157</v>
      </c>
      <c r="E521" s="139" t="s">
        <v>100</v>
      </c>
      <c r="F521" s="121">
        <v>0</v>
      </c>
      <c r="G521" s="119"/>
      <c r="H521" s="48"/>
    </row>
    <row r="522" spans="1:8">
      <c r="A522" s="139" t="s">
        <v>1257</v>
      </c>
      <c r="B522" s="139" t="s">
        <v>1258</v>
      </c>
      <c r="C522" s="139" t="s">
        <v>156</v>
      </c>
      <c r="D522" s="139" t="s">
        <v>162</v>
      </c>
      <c r="E522" s="139" t="s">
        <v>100</v>
      </c>
      <c r="F522" s="121">
        <v>0</v>
      </c>
      <c r="G522" s="119"/>
      <c r="H522" s="48">
        <f t="shared" si="8"/>
        <v>0</v>
      </c>
    </row>
    <row r="523" spans="1:8">
      <c r="A523" s="139" t="s">
        <v>1259</v>
      </c>
      <c r="B523" s="139" t="s">
        <v>1260</v>
      </c>
      <c r="C523" s="139" t="s">
        <v>156</v>
      </c>
      <c r="D523" s="139" t="s">
        <v>162</v>
      </c>
      <c r="E523" s="139" t="s">
        <v>100</v>
      </c>
      <c r="F523" s="121">
        <v>0</v>
      </c>
      <c r="G523" s="119"/>
      <c r="H523" s="48">
        <f t="shared" si="8"/>
        <v>0</v>
      </c>
    </row>
    <row r="524" spans="1:8">
      <c r="A524" s="139" t="s">
        <v>1261</v>
      </c>
      <c r="B524" s="139" t="s">
        <v>1262</v>
      </c>
      <c r="C524" s="139" t="s">
        <v>156</v>
      </c>
      <c r="D524" s="139" t="s">
        <v>162</v>
      </c>
      <c r="E524" s="139" t="s">
        <v>100</v>
      </c>
      <c r="F524" s="121">
        <v>0</v>
      </c>
      <c r="G524" s="119"/>
      <c r="H524" s="48">
        <f t="shared" si="8"/>
        <v>0</v>
      </c>
    </row>
    <row r="525" spans="1:8">
      <c r="A525" s="139" t="s">
        <v>1263</v>
      </c>
      <c r="B525" s="139" t="s">
        <v>1264</v>
      </c>
      <c r="C525" s="139" t="s">
        <v>156</v>
      </c>
      <c r="D525" s="139" t="s">
        <v>162</v>
      </c>
      <c r="E525" s="139" t="s">
        <v>100</v>
      </c>
      <c r="F525" s="121">
        <v>0</v>
      </c>
      <c r="G525" s="119"/>
      <c r="H525" s="48">
        <f t="shared" si="8"/>
        <v>0</v>
      </c>
    </row>
    <row r="526" spans="1:8">
      <c r="A526" s="139" t="s">
        <v>1265</v>
      </c>
      <c r="B526" s="139" t="s">
        <v>1266</v>
      </c>
      <c r="C526" s="139" t="s">
        <v>156</v>
      </c>
      <c r="D526" s="139" t="s">
        <v>162</v>
      </c>
      <c r="E526" s="139" t="s">
        <v>100</v>
      </c>
      <c r="F526" s="121">
        <v>0</v>
      </c>
      <c r="G526" s="119"/>
      <c r="H526" s="48">
        <f t="shared" si="8"/>
        <v>0</v>
      </c>
    </row>
    <row r="527" spans="1:8">
      <c r="A527" s="139" t="s">
        <v>1267</v>
      </c>
      <c r="B527" s="139" t="s">
        <v>1268</v>
      </c>
      <c r="C527" s="139" t="s">
        <v>156</v>
      </c>
      <c r="D527" s="139" t="s">
        <v>162</v>
      </c>
      <c r="E527" s="139" t="s">
        <v>100</v>
      </c>
      <c r="F527" s="121">
        <v>0</v>
      </c>
      <c r="G527" s="119"/>
      <c r="H527" s="48">
        <f t="shared" si="8"/>
        <v>0</v>
      </c>
    </row>
    <row r="528" spans="1:8">
      <c r="A528" s="139" t="s">
        <v>1269</v>
      </c>
      <c r="B528" s="139" t="s">
        <v>1270</v>
      </c>
      <c r="C528" s="139" t="s">
        <v>872</v>
      </c>
      <c r="D528" s="139" t="s">
        <v>169</v>
      </c>
      <c r="E528" s="139" t="s">
        <v>1271</v>
      </c>
      <c r="F528" s="121">
        <v>0</v>
      </c>
      <c r="G528" s="119"/>
      <c r="H528" s="48"/>
    </row>
    <row r="529" spans="1:8">
      <c r="A529" s="139" t="s">
        <v>1272</v>
      </c>
      <c r="B529" s="139" t="s">
        <v>189</v>
      </c>
      <c r="C529" s="139" t="s">
        <v>872</v>
      </c>
      <c r="D529" s="139" t="s">
        <v>157</v>
      </c>
      <c r="E529" s="139" t="s">
        <v>100</v>
      </c>
      <c r="F529" s="121">
        <v>0</v>
      </c>
      <c r="G529" s="119"/>
      <c r="H529" s="48"/>
    </row>
    <row r="530" spans="1:8">
      <c r="A530" s="139" t="s">
        <v>1273</v>
      </c>
      <c r="B530" s="139" t="s">
        <v>1110</v>
      </c>
      <c r="C530" s="139" t="s">
        <v>156</v>
      </c>
      <c r="D530" s="139" t="s">
        <v>162</v>
      </c>
      <c r="E530" s="139" t="s">
        <v>100</v>
      </c>
      <c r="F530" s="121">
        <v>0</v>
      </c>
      <c r="G530" s="119"/>
      <c r="H530" s="48">
        <f t="shared" si="8"/>
        <v>0</v>
      </c>
    </row>
    <row r="531" spans="1:8">
      <c r="A531" s="139" t="s">
        <v>1274</v>
      </c>
      <c r="B531" s="139" t="s">
        <v>1275</v>
      </c>
      <c r="C531" s="139" t="s">
        <v>156</v>
      </c>
      <c r="D531" s="139" t="s">
        <v>162</v>
      </c>
      <c r="E531" s="139" t="s">
        <v>100</v>
      </c>
      <c r="F531" s="121">
        <v>0</v>
      </c>
      <c r="G531" s="119"/>
      <c r="H531" s="48">
        <f t="shared" si="8"/>
        <v>0</v>
      </c>
    </row>
    <row r="532" spans="1:8">
      <c r="A532" s="139" t="s">
        <v>1276</v>
      </c>
      <c r="B532" s="139" t="s">
        <v>1277</v>
      </c>
      <c r="C532" s="139" t="s">
        <v>156</v>
      </c>
      <c r="D532" s="139" t="s">
        <v>162</v>
      </c>
      <c r="E532" s="139" t="s">
        <v>100</v>
      </c>
      <c r="F532" s="121">
        <v>0</v>
      </c>
      <c r="G532" s="119"/>
      <c r="H532" s="48">
        <f t="shared" si="8"/>
        <v>0</v>
      </c>
    </row>
    <row r="533" spans="1:8">
      <c r="A533" s="139" t="s">
        <v>1278</v>
      </c>
      <c r="B533" s="139" t="s">
        <v>1279</v>
      </c>
      <c r="C533" s="139" t="s">
        <v>156</v>
      </c>
      <c r="D533" s="139" t="s">
        <v>162</v>
      </c>
      <c r="E533" s="139" t="s">
        <v>100</v>
      </c>
      <c r="F533" s="121">
        <v>0</v>
      </c>
      <c r="G533" s="119"/>
      <c r="H533" s="48">
        <f t="shared" si="8"/>
        <v>0</v>
      </c>
    </row>
    <row r="534" spans="1:8">
      <c r="A534" s="139" t="s">
        <v>1280</v>
      </c>
      <c r="B534" s="139" t="s">
        <v>1281</v>
      </c>
      <c r="C534" s="139" t="s">
        <v>156</v>
      </c>
      <c r="D534" s="139" t="s">
        <v>162</v>
      </c>
      <c r="E534" s="139" t="s">
        <v>100</v>
      </c>
      <c r="F534" s="121">
        <v>0</v>
      </c>
      <c r="G534" s="119"/>
      <c r="H534" s="48">
        <f t="shared" ref="H534:H596" si="9">SUM(F534:G534)</f>
        <v>0</v>
      </c>
    </row>
    <row r="535" spans="1:8">
      <c r="A535" s="139" t="s">
        <v>1282</v>
      </c>
      <c r="B535" s="139" t="s">
        <v>251</v>
      </c>
      <c r="C535" s="139" t="s">
        <v>872</v>
      </c>
      <c r="D535" s="139" t="s">
        <v>169</v>
      </c>
      <c r="E535" s="139" t="s">
        <v>1283</v>
      </c>
      <c r="F535" s="121">
        <v>0</v>
      </c>
      <c r="G535" s="119"/>
      <c r="H535" s="48"/>
    </row>
    <row r="536" spans="1:8">
      <c r="A536" s="139" t="s">
        <v>1284</v>
      </c>
      <c r="B536" s="139" t="s">
        <v>278</v>
      </c>
      <c r="C536" s="139" t="s">
        <v>872</v>
      </c>
      <c r="D536" s="139" t="s">
        <v>169</v>
      </c>
      <c r="E536" s="139" t="s">
        <v>1285</v>
      </c>
      <c r="F536" s="121">
        <v>0</v>
      </c>
      <c r="G536" s="119"/>
      <c r="H536" s="48"/>
    </row>
    <row r="537" spans="1:8">
      <c r="A537" s="139" t="s">
        <v>1286</v>
      </c>
      <c r="B537" s="139" t="s">
        <v>281</v>
      </c>
      <c r="C537" s="139" t="s">
        <v>872</v>
      </c>
      <c r="D537" s="139" t="s">
        <v>157</v>
      </c>
      <c r="E537" s="139" t="s">
        <v>100</v>
      </c>
      <c r="F537" s="121">
        <v>0</v>
      </c>
      <c r="G537" s="119"/>
      <c r="H537" s="48"/>
    </row>
    <row r="538" spans="1:8">
      <c r="A538" s="139" t="s">
        <v>1287</v>
      </c>
      <c r="B538" s="139" t="s">
        <v>1288</v>
      </c>
      <c r="C538" s="139" t="s">
        <v>872</v>
      </c>
      <c r="D538" s="139" t="s">
        <v>157</v>
      </c>
      <c r="E538" s="139" t="s">
        <v>100</v>
      </c>
      <c r="F538" s="121">
        <v>0</v>
      </c>
      <c r="G538" s="119"/>
      <c r="H538" s="48"/>
    </row>
    <row r="539" spans="1:8">
      <c r="A539" s="139" t="s">
        <v>1289</v>
      </c>
      <c r="B539" s="139" t="s">
        <v>47</v>
      </c>
      <c r="C539" s="139" t="s">
        <v>156</v>
      </c>
      <c r="D539" s="139" t="s">
        <v>162</v>
      </c>
      <c r="E539" s="139" t="s">
        <v>100</v>
      </c>
      <c r="F539" s="121">
        <v>0</v>
      </c>
      <c r="G539" s="119"/>
      <c r="H539" s="48">
        <f t="shared" si="9"/>
        <v>0</v>
      </c>
    </row>
    <row r="540" spans="1:8">
      <c r="A540" s="139" t="s">
        <v>1290</v>
      </c>
      <c r="B540" s="139" t="s">
        <v>1291</v>
      </c>
      <c r="C540" s="139" t="s">
        <v>156</v>
      </c>
      <c r="D540" s="139" t="s">
        <v>162</v>
      </c>
      <c r="E540" s="139" t="s">
        <v>100</v>
      </c>
      <c r="F540" s="121">
        <v>0</v>
      </c>
      <c r="G540" s="119"/>
      <c r="H540" s="48">
        <f t="shared" si="9"/>
        <v>0</v>
      </c>
    </row>
    <row r="541" spans="1:8">
      <c r="A541" s="139" t="s">
        <v>1292</v>
      </c>
      <c r="B541" s="139" t="s">
        <v>1293</v>
      </c>
      <c r="C541" s="139" t="s">
        <v>156</v>
      </c>
      <c r="D541" s="139" t="s">
        <v>162</v>
      </c>
      <c r="E541" s="139" t="s">
        <v>100</v>
      </c>
      <c r="F541" s="121">
        <v>0</v>
      </c>
      <c r="G541" s="119"/>
      <c r="H541" s="48">
        <f t="shared" si="9"/>
        <v>0</v>
      </c>
    </row>
    <row r="542" spans="1:8">
      <c r="A542" s="139" t="s">
        <v>1294</v>
      </c>
      <c r="B542" s="139" t="s">
        <v>1295</v>
      </c>
      <c r="C542" s="139" t="s">
        <v>156</v>
      </c>
      <c r="D542" s="139" t="s">
        <v>162</v>
      </c>
      <c r="E542" s="139" t="s">
        <v>100</v>
      </c>
      <c r="F542" s="121">
        <v>0</v>
      </c>
      <c r="G542" s="119"/>
      <c r="H542" s="48">
        <f t="shared" si="9"/>
        <v>0</v>
      </c>
    </row>
    <row r="543" spans="1:8">
      <c r="A543" s="139" t="s">
        <v>1296</v>
      </c>
      <c r="B543" s="139" t="s">
        <v>1297</v>
      </c>
      <c r="C543" s="139" t="s">
        <v>156</v>
      </c>
      <c r="D543" s="139" t="s">
        <v>162</v>
      </c>
      <c r="E543" s="139" t="s">
        <v>100</v>
      </c>
      <c r="F543" s="121">
        <v>0</v>
      </c>
      <c r="G543" s="119"/>
      <c r="H543" s="48">
        <f t="shared" si="9"/>
        <v>0</v>
      </c>
    </row>
    <row r="544" spans="1:8">
      <c r="A544" s="139" t="s">
        <v>1298</v>
      </c>
      <c r="B544" s="139" t="s">
        <v>1299</v>
      </c>
      <c r="C544" s="139" t="s">
        <v>156</v>
      </c>
      <c r="D544" s="139" t="s">
        <v>162</v>
      </c>
      <c r="E544" s="139" t="s">
        <v>100</v>
      </c>
      <c r="F544" s="121">
        <v>0</v>
      </c>
      <c r="G544" s="119"/>
      <c r="H544" s="48">
        <f t="shared" si="9"/>
        <v>0</v>
      </c>
    </row>
    <row r="545" spans="1:8">
      <c r="A545" s="139" t="s">
        <v>1300</v>
      </c>
      <c r="B545" s="139" t="s">
        <v>1301</v>
      </c>
      <c r="C545" s="139" t="s">
        <v>156</v>
      </c>
      <c r="D545" s="139" t="s">
        <v>162</v>
      </c>
      <c r="E545" s="139" t="s">
        <v>100</v>
      </c>
      <c r="F545" s="121">
        <v>0</v>
      </c>
      <c r="G545" s="119"/>
      <c r="H545" s="48">
        <f t="shared" si="9"/>
        <v>0</v>
      </c>
    </row>
    <row r="546" spans="1:8">
      <c r="A546" s="139" t="s">
        <v>1302</v>
      </c>
      <c r="B546" s="139" t="s">
        <v>1303</v>
      </c>
      <c r="C546" s="139" t="s">
        <v>156</v>
      </c>
      <c r="D546" s="139" t="s">
        <v>162</v>
      </c>
      <c r="E546" s="139" t="s">
        <v>100</v>
      </c>
      <c r="F546" s="121">
        <v>0</v>
      </c>
      <c r="G546" s="119"/>
      <c r="H546" s="48">
        <f t="shared" si="9"/>
        <v>0</v>
      </c>
    </row>
    <row r="547" spans="1:8">
      <c r="A547" s="139" t="s">
        <v>1304</v>
      </c>
      <c r="B547" s="139" t="s">
        <v>664</v>
      </c>
      <c r="C547" s="139" t="s">
        <v>156</v>
      </c>
      <c r="D547" s="139" t="s">
        <v>162</v>
      </c>
      <c r="E547" s="139" t="s">
        <v>100</v>
      </c>
      <c r="F547" s="121">
        <v>0</v>
      </c>
      <c r="G547" s="119"/>
      <c r="H547" s="48">
        <f t="shared" si="9"/>
        <v>0</v>
      </c>
    </row>
    <row r="548" spans="1:8">
      <c r="A548" s="139" t="s">
        <v>1305</v>
      </c>
      <c r="B548" s="139" t="s">
        <v>1306</v>
      </c>
      <c r="C548" s="139" t="s">
        <v>156</v>
      </c>
      <c r="D548" s="139" t="s">
        <v>162</v>
      </c>
      <c r="E548" s="139" t="s">
        <v>100</v>
      </c>
      <c r="F548" s="121">
        <v>0</v>
      </c>
      <c r="G548" s="119"/>
      <c r="H548" s="48">
        <f t="shared" si="9"/>
        <v>0</v>
      </c>
    </row>
    <row r="549" spans="1:8">
      <c r="A549" s="139" t="s">
        <v>1307</v>
      </c>
      <c r="B549" s="139" t="s">
        <v>1308</v>
      </c>
      <c r="C549" s="139" t="s">
        <v>156</v>
      </c>
      <c r="D549" s="139" t="s">
        <v>162</v>
      </c>
      <c r="E549" s="139" t="s">
        <v>100</v>
      </c>
      <c r="F549" s="121">
        <v>0</v>
      </c>
      <c r="G549" s="119"/>
      <c r="H549" s="48">
        <f t="shared" si="9"/>
        <v>0</v>
      </c>
    </row>
    <row r="550" spans="1:8">
      <c r="A550" s="139" t="s">
        <v>1309</v>
      </c>
      <c r="B550" s="139" t="s">
        <v>1310</v>
      </c>
      <c r="C550" s="139" t="s">
        <v>156</v>
      </c>
      <c r="D550" s="139" t="s">
        <v>162</v>
      </c>
      <c r="E550" s="139" t="s">
        <v>100</v>
      </c>
      <c r="F550" s="121">
        <v>0</v>
      </c>
      <c r="G550" s="119"/>
      <c r="H550" s="48">
        <f t="shared" si="9"/>
        <v>0</v>
      </c>
    </row>
    <row r="551" spans="1:8">
      <c r="A551" s="139" t="s">
        <v>1311</v>
      </c>
      <c r="B551" s="139" t="s">
        <v>1312</v>
      </c>
      <c r="C551" s="139" t="s">
        <v>156</v>
      </c>
      <c r="D551" s="139" t="s">
        <v>162</v>
      </c>
      <c r="E551" s="139" t="s">
        <v>100</v>
      </c>
      <c r="F551" s="121">
        <v>0</v>
      </c>
      <c r="G551" s="119"/>
      <c r="H551" s="48">
        <f t="shared" si="9"/>
        <v>0</v>
      </c>
    </row>
    <row r="552" spans="1:8">
      <c r="A552" s="139" t="s">
        <v>1313</v>
      </c>
      <c r="B552" s="139" t="s">
        <v>1314</v>
      </c>
      <c r="C552" s="139" t="s">
        <v>156</v>
      </c>
      <c r="D552" s="139" t="s">
        <v>162</v>
      </c>
      <c r="E552" s="139" t="s">
        <v>100</v>
      </c>
      <c r="F552" s="121">
        <v>0</v>
      </c>
      <c r="G552" s="119"/>
      <c r="H552" s="48">
        <f t="shared" si="9"/>
        <v>0</v>
      </c>
    </row>
    <row r="553" spans="1:8">
      <c r="A553" s="139" t="s">
        <v>1315</v>
      </c>
      <c r="B553" s="139" t="s">
        <v>1316</v>
      </c>
      <c r="C553" s="139" t="s">
        <v>156</v>
      </c>
      <c r="D553" s="139" t="s">
        <v>162</v>
      </c>
      <c r="E553" s="139" t="s">
        <v>100</v>
      </c>
      <c r="F553" s="121">
        <v>0</v>
      </c>
      <c r="G553" s="119"/>
      <c r="H553" s="48">
        <f t="shared" si="9"/>
        <v>0</v>
      </c>
    </row>
    <row r="554" spans="1:8">
      <c r="A554" s="139" t="s">
        <v>1317</v>
      </c>
      <c r="B554" s="139" t="s">
        <v>1318</v>
      </c>
      <c r="C554" s="139" t="s">
        <v>156</v>
      </c>
      <c r="D554" s="139" t="s">
        <v>162</v>
      </c>
      <c r="E554" s="139" t="s">
        <v>100</v>
      </c>
      <c r="F554" s="121">
        <v>0</v>
      </c>
      <c r="G554" s="119"/>
      <c r="H554" s="48">
        <f t="shared" si="9"/>
        <v>0</v>
      </c>
    </row>
    <row r="555" spans="1:8">
      <c r="A555" s="139" t="s">
        <v>1319</v>
      </c>
      <c r="B555" s="139" t="s">
        <v>1320</v>
      </c>
      <c r="C555" s="139" t="s">
        <v>872</v>
      </c>
      <c r="D555" s="139" t="s">
        <v>169</v>
      </c>
      <c r="E555" s="139" t="s">
        <v>1321</v>
      </c>
      <c r="F555" s="121">
        <v>0</v>
      </c>
      <c r="G555" s="119"/>
      <c r="H555" s="48"/>
    </row>
    <row r="556" spans="1:8">
      <c r="A556" s="139" t="s">
        <v>1322</v>
      </c>
      <c r="B556" s="139" t="s">
        <v>1323</v>
      </c>
      <c r="C556" s="139" t="s">
        <v>872</v>
      </c>
      <c r="D556" s="139" t="s">
        <v>157</v>
      </c>
      <c r="E556" s="139" t="s">
        <v>100</v>
      </c>
      <c r="F556" s="121">
        <v>0</v>
      </c>
      <c r="G556" s="119"/>
      <c r="H556" s="48"/>
    </row>
    <row r="557" spans="1:8">
      <c r="A557" s="139" t="s">
        <v>1324</v>
      </c>
      <c r="B557" s="139" t="s">
        <v>1325</v>
      </c>
      <c r="C557" s="139" t="s">
        <v>156</v>
      </c>
      <c r="D557" s="139" t="s">
        <v>162</v>
      </c>
      <c r="E557" s="139" t="s">
        <v>100</v>
      </c>
      <c r="F557" s="121">
        <v>0</v>
      </c>
      <c r="G557" s="119"/>
      <c r="H557" s="48">
        <f t="shared" si="9"/>
        <v>0</v>
      </c>
    </row>
    <row r="558" spans="1:8">
      <c r="A558" s="139" t="s">
        <v>1326</v>
      </c>
      <c r="B558" s="139" t="s">
        <v>1327</v>
      </c>
      <c r="C558" s="139" t="s">
        <v>156</v>
      </c>
      <c r="D558" s="139" t="s">
        <v>162</v>
      </c>
      <c r="E558" s="139" t="s">
        <v>100</v>
      </c>
      <c r="F558" s="121">
        <v>0</v>
      </c>
      <c r="G558" s="119"/>
      <c r="H558" s="48">
        <f t="shared" si="9"/>
        <v>0</v>
      </c>
    </row>
    <row r="559" spans="1:8">
      <c r="A559" s="139" t="s">
        <v>1328</v>
      </c>
      <c r="B559" s="139" t="s">
        <v>1329</v>
      </c>
      <c r="C559" s="139" t="s">
        <v>872</v>
      </c>
      <c r="D559" s="139" t="s">
        <v>162</v>
      </c>
      <c r="E559" s="139" t="s">
        <v>100</v>
      </c>
      <c r="F559" s="121">
        <v>0</v>
      </c>
      <c r="G559" s="119"/>
      <c r="H559" s="48">
        <f t="shared" si="9"/>
        <v>0</v>
      </c>
    </row>
    <row r="560" spans="1:8">
      <c r="A560" s="139" t="s">
        <v>1330</v>
      </c>
      <c r="B560" s="139" t="s">
        <v>1331</v>
      </c>
      <c r="C560" s="139" t="s">
        <v>156</v>
      </c>
      <c r="D560" s="139" t="s">
        <v>162</v>
      </c>
      <c r="E560" s="139" t="s">
        <v>100</v>
      </c>
      <c r="F560" s="121">
        <v>0</v>
      </c>
      <c r="G560" s="119"/>
      <c r="H560" s="48">
        <f t="shared" si="9"/>
        <v>0</v>
      </c>
    </row>
    <row r="561" spans="1:8">
      <c r="A561" s="139" t="s">
        <v>1332</v>
      </c>
      <c r="B561" s="139" t="s">
        <v>1333</v>
      </c>
      <c r="C561" s="139" t="s">
        <v>872</v>
      </c>
      <c r="D561" s="139" t="s">
        <v>169</v>
      </c>
      <c r="E561" s="139" t="s">
        <v>1334</v>
      </c>
      <c r="F561" s="121">
        <v>0</v>
      </c>
      <c r="G561" s="119"/>
      <c r="H561" s="48"/>
    </row>
    <row r="562" spans="1:8">
      <c r="A562" s="139" t="s">
        <v>1335</v>
      </c>
      <c r="B562" s="139" t="s">
        <v>1336</v>
      </c>
      <c r="C562" s="139" t="s">
        <v>872</v>
      </c>
      <c r="D562" s="139" t="s">
        <v>157</v>
      </c>
      <c r="E562" s="139" t="s">
        <v>100</v>
      </c>
      <c r="F562" s="121">
        <v>0</v>
      </c>
      <c r="G562" s="119"/>
      <c r="H562" s="48"/>
    </row>
    <row r="563" spans="1:8">
      <c r="A563" s="139" t="s">
        <v>1337</v>
      </c>
      <c r="B563" s="139" t="s">
        <v>1338</v>
      </c>
      <c r="C563" s="139" t="s">
        <v>156</v>
      </c>
      <c r="D563" s="139" t="s">
        <v>162</v>
      </c>
      <c r="E563" s="139" t="s">
        <v>100</v>
      </c>
      <c r="F563" s="121">
        <v>0</v>
      </c>
      <c r="G563" s="119"/>
      <c r="H563" s="48">
        <f t="shared" si="9"/>
        <v>0</v>
      </c>
    </row>
    <row r="564" spans="1:8">
      <c r="A564" s="139" t="s">
        <v>1339</v>
      </c>
      <c r="B564" s="139" t="s">
        <v>1340</v>
      </c>
      <c r="C564" s="139" t="s">
        <v>156</v>
      </c>
      <c r="D564" s="139" t="s">
        <v>162</v>
      </c>
      <c r="E564" s="139" t="s">
        <v>100</v>
      </c>
      <c r="F564" s="121">
        <v>0</v>
      </c>
      <c r="G564" s="119"/>
      <c r="H564" s="48">
        <f t="shared" si="9"/>
        <v>0</v>
      </c>
    </row>
    <row r="565" spans="1:8">
      <c r="A565" s="139" t="s">
        <v>1341</v>
      </c>
      <c r="B565" s="139" t="s">
        <v>1342</v>
      </c>
      <c r="C565" s="139" t="s">
        <v>156</v>
      </c>
      <c r="D565" s="139" t="s">
        <v>162</v>
      </c>
      <c r="E565" s="139" t="s">
        <v>100</v>
      </c>
      <c r="F565" s="121">
        <v>0</v>
      </c>
      <c r="G565" s="119"/>
      <c r="H565" s="48">
        <f t="shared" si="9"/>
        <v>0</v>
      </c>
    </row>
    <row r="566" spans="1:8">
      <c r="A566" s="139" t="s">
        <v>1343</v>
      </c>
      <c r="B566" s="139" t="s">
        <v>1344</v>
      </c>
      <c r="C566" s="139" t="s">
        <v>156</v>
      </c>
      <c r="D566" s="139" t="s">
        <v>162</v>
      </c>
      <c r="E566" s="139" t="s">
        <v>100</v>
      </c>
      <c r="F566" s="121">
        <v>0</v>
      </c>
      <c r="G566" s="119"/>
      <c r="H566" s="48">
        <f t="shared" si="9"/>
        <v>0</v>
      </c>
    </row>
    <row r="567" spans="1:8">
      <c r="A567" s="139" t="s">
        <v>1345</v>
      </c>
      <c r="B567" s="139" t="s">
        <v>1346</v>
      </c>
      <c r="C567" s="139" t="s">
        <v>156</v>
      </c>
      <c r="D567" s="139" t="s">
        <v>162</v>
      </c>
      <c r="E567" s="139" t="s">
        <v>100</v>
      </c>
      <c r="F567" s="121">
        <v>0</v>
      </c>
      <c r="G567" s="119"/>
      <c r="H567" s="48">
        <f t="shared" si="9"/>
        <v>0</v>
      </c>
    </row>
    <row r="568" spans="1:8">
      <c r="A568" s="139" t="s">
        <v>1347</v>
      </c>
      <c r="B568" s="139" t="s">
        <v>1348</v>
      </c>
      <c r="C568" s="139" t="s">
        <v>872</v>
      </c>
      <c r="D568" s="139" t="s">
        <v>162</v>
      </c>
      <c r="E568" s="139" t="s">
        <v>100</v>
      </c>
      <c r="F568" s="121">
        <v>0</v>
      </c>
      <c r="G568" s="119"/>
      <c r="H568" s="48">
        <f t="shared" si="9"/>
        <v>0</v>
      </c>
    </row>
    <row r="569" spans="1:8">
      <c r="A569" s="139" t="s">
        <v>1349</v>
      </c>
      <c r="B569" s="139" t="s">
        <v>1350</v>
      </c>
      <c r="C569" s="139" t="s">
        <v>156</v>
      </c>
      <c r="D569" s="139" t="s">
        <v>162</v>
      </c>
      <c r="E569" s="139" t="s">
        <v>100</v>
      </c>
      <c r="F569" s="121">
        <v>0</v>
      </c>
      <c r="G569" s="119"/>
      <c r="H569" s="48">
        <f t="shared" si="9"/>
        <v>0</v>
      </c>
    </row>
    <row r="570" spans="1:8">
      <c r="A570" s="139" t="s">
        <v>1351</v>
      </c>
      <c r="B570" s="139" t="s">
        <v>1352</v>
      </c>
      <c r="C570" s="139" t="s">
        <v>872</v>
      </c>
      <c r="D570" s="139" t="s">
        <v>162</v>
      </c>
      <c r="E570" s="139" t="s">
        <v>100</v>
      </c>
      <c r="F570" s="121">
        <v>0</v>
      </c>
      <c r="G570" s="119"/>
      <c r="H570" s="48">
        <f t="shared" si="9"/>
        <v>0</v>
      </c>
    </row>
    <row r="571" spans="1:8">
      <c r="A571" s="139" t="s">
        <v>1353</v>
      </c>
      <c r="B571" s="139" t="s">
        <v>1354</v>
      </c>
      <c r="C571" s="139" t="s">
        <v>156</v>
      </c>
      <c r="D571" s="139" t="s">
        <v>162</v>
      </c>
      <c r="E571" s="139" t="s">
        <v>100</v>
      </c>
      <c r="F571" s="121">
        <v>0</v>
      </c>
      <c r="G571" s="119"/>
      <c r="H571" s="48">
        <f t="shared" si="9"/>
        <v>0</v>
      </c>
    </row>
    <row r="572" spans="1:8">
      <c r="A572" s="139" t="s">
        <v>1355</v>
      </c>
      <c r="B572" s="139" t="s">
        <v>1356</v>
      </c>
      <c r="C572" s="139" t="s">
        <v>872</v>
      </c>
      <c r="D572" s="139" t="s">
        <v>162</v>
      </c>
      <c r="E572" s="139" t="s">
        <v>100</v>
      </c>
      <c r="F572" s="121">
        <v>0</v>
      </c>
      <c r="G572" s="119"/>
      <c r="H572" s="48">
        <f t="shared" si="9"/>
        <v>0</v>
      </c>
    </row>
    <row r="573" spans="1:8">
      <c r="A573" s="139" t="s">
        <v>1357</v>
      </c>
      <c r="B573" s="139" t="s">
        <v>1358</v>
      </c>
      <c r="C573" s="139" t="s">
        <v>156</v>
      </c>
      <c r="D573" s="139" t="s">
        <v>162</v>
      </c>
      <c r="E573" s="139" t="s">
        <v>100</v>
      </c>
      <c r="F573" s="121">
        <v>0</v>
      </c>
      <c r="G573" s="119"/>
      <c r="H573" s="48">
        <f t="shared" si="9"/>
        <v>0</v>
      </c>
    </row>
    <row r="574" spans="1:8">
      <c r="A574" s="139" t="s">
        <v>1359</v>
      </c>
      <c r="B574" s="139" t="s">
        <v>1360</v>
      </c>
      <c r="C574" s="139" t="s">
        <v>156</v>
      </c>
      <c r="D574" s="139" t="s">
        <v>162</v>
      </c>
      <c r="E574" s="139" t="s">
        <v>100</v>
      </c>
      <c r="F574" s="121">
        <v>0</v>
      </c>
      <c r="G574" s="119"/>
      <c r="H574" s="48">
        <f t="shared" si="9"/>
        <v>0</v>
      </c>
    </row>
    <row r="575" spans="1:8">
      <c r="A575" s="139" t="s">
        <v>1361</v>
      </c>
      <c r="B575" s="139" t="s">
        <v>1362</v>
      </c>
      <c r="C575" s="139" t="s">
        <v>156</v>
      </c>
      <c r="D575" s="139" t="s">
        <v>162</v>
      </c>
      <c r="E575" s="139" t="s">
        <v>100</v>
      </c>
      <c r="F575" s="121">
        <v>0</v>
      </c>
      <c r="G575" s="119"/>
      <c r="H575" s="48">
        <f t="shared" si="9"/>
        <v>0</v>
      </c>
    </row>
    <row r="576" spans="1:8">
      <c r="A576" s="139" t="s">
        <v>1363</v>
      </c>
      <c r="B576" s="139" t="s">
        <v>1364</v>
      </c>
      <c r="C576" s="139" t="s">
        <v>156</v>
      </c>
      <c r="D576" s="139" t="s">
        <v>162</v>
      </c>
      <c r="E576" s="139" t="s">
        <v>100</v>
      </c>
      <c r="F576" s="121">
        <v>0</v>
      </c>
      <c r="G576" s="119"/>
      <c r="H576" s="48">
        <f t="shared" si="9"/>
        <v>0</v>
      </c>
    </row>
    <row r="577" spans="1:8">
      <c r="A577" s="139" t="s">
        <v>1365</v>
      </c>
      <c r="B577" s="139" t="s">
        <v>1366</v>
      </c>
      <c r="C577" s="139" t="s">
        <v>156</v>
      </c>
      <c r="D577" s="139" t="s">
        <v>162</v>
      </c>
      <c r="E577" s="139" t="s">
        <v>100</v>
      </c>
      <c r="F577" s="121">
        <v>0</v>
      </c>
      <c r="G577" s="119"/>
      <c r="H577" s="48">
        <f t="shared" si="9"/>
        <v>0</v>
      </c>
    </row>
    <row r="578" spans="1:8">
      <c r="A578" s="139" t="s">
        <v>1367</v>
      </c>
      <c r="B578" s="139" t="s">
        <v>495</v>
      </c>
      <c r="C578" s="139" t="s">
        <v>156</v>
      </c>
      <c r="D578" s="139" t="s">
        <v>162</v>
      </c>
      <c r="E578" s="139" t="s">
        <v>100</v>
      </c>
      <c r="F578" s="121">
        <v>0</v>
      </c>
      <c r="G578" s="119"/>
      <c r="H578" s="48">
        <f t="shared" si="9"/>
        <v>0</v>
      </c>
    </row>
    <row r="579" spans="1:8">
      <c r="A579" s="139" t="s">
        <v>1368</v>
      </c>
      <c r="B579" s="139" t="s">
        <v>1369</v>
      </c>
      <c r="C579" s="139" t="s">
        <v>156</v>
      </c>
      <c r="D579" s="139" t="s">
        <v>162</v>
      </c>
      <c r="E579" s="139" t="s">
        <v>100</v>
      </c>
      <c r="F579" s="121">
        <v>0</v>
      </c>
      <c r="G579" s="119"/>
      <c r="H579" s="48">
        <f t="shared" si="9"/>
        <v>0</v>
      </c>
    </row>
    <row r="580" spans="1:8">
      <c r="A580" s="139" t="s">
        <v>1370</v>
      </c>
      <c r="B580" s="139" t="s">
        <v>1301</v>
      </c>
      <c r="C580" s="139" t="s">
        <v>156</v>
      </c>
      <c r="D580" s="139" t="s">
        <v>162</v>
      </c>
      <c r="E580" s="139" t="s">
        <v>100</v>
      </c>
      <c r="F580" s="121">
        <v>0</v>
      </c>
      <c r="G580" s="119"/>
      <c r="H580" s="48">
        <f t="shared" si="9"/>
        <v>0</v>
      </c>
    </row>
    <row r="581" spans="1:8">
      <c r="A581" s="139" t="s">
        <v>1371</v>
      </c>
      <c r="B581" s="139" t="s">
        <v>1372</v>
      </c>
      <c r="C581" s="139" t="s">
        <v>156</v>
      </c>
      <c r="D581" s="139" t="s">
        <v>162</v>
      </c>
      <c r="E581" s="139" t="s">
        <v>100</v>
      </c>
      <c r="F581" s="121">
        <v>0</v>
      </c>
      <c r="G581" s="119"/>
      <c r="H581" s="48">
        <f t="shared" si="9"/>
        <v>0</v>
      </c>
    </row>
    <row r="582" spans="1:8">
      <c r="A582" s="139" t="s">
        <v>1373</v>
      </c>
      <c r="B582" s="139" t="s">
        <v>1374</v>
      </c>
      <c r="C582" s="139" t="s">
        <v>872</v>
      </c>
      <c r="D582" s="139" t="s">
        <v>169</v>
      </c>
      <c r="E582" s="139" t="s">
        <v>1375</v>
      </c>
      <c r="F582" s="121">
        <v>0</v>
      </c>
      <c r="G582" s="119"/>
      <c r="H582" s="48"/>
    </row>
    <row r="583" spans="1:8">
      <c r="A583" s="139" t="s">
        <v>1376</v>
      </c>
      <c r="B583" s="139" t="s">
        <v>1377</v>
      </c>
      <c r="C583" s="139" t="s">
        <v>872</v>
      </c>
      <c r="D583" s="139" t="s">
        <v>157</v>
      </c>
      <c r="E583" s="139" t="s">
        <v>100</v>
      </c>
      <c r="F583" s="121">
        <v>0</v>
      </c>
      <c r="G583" s="119"/>
      <c r="H583" s="48">
        <f t="shared" si="9"/>
        <v>0</v>
      </c>
    </row>
    <row r="584" spans="1:8">
      <c r="A584" s="139" t="s">
        <v>1378</v>
      </c>
      <c r="B584" s="139" t="s">
        <v>1379</v>
      </c>
      <c r="C584" s="139" t="s">
        <v>156</v>
      </c>
      <c r="D584" s="139" t="s">
        <v>162</v>
      </c>
      <c r="E584" s="139" t="s">
        <v>100</v>
      </c>
      <c r="F584" s="121">
        <v>0</v>
      </c>
      <c r="G584" s="119"/>
      <c r="H584" s="48">
        <f t="shared" si="9"/>
        <v>0</v>
      </c>
    </row>
    <row r="585" spans="1:8">
      <c r="A585" s="139" t="s">
        <v>1380</v>
      </c>
      <c r="B585" s="139" t="s">
        <v>1381</v>
      </c>
      <c r="C585" s="139" t="s">
        <v>872</v>
      </c>
      <c r="D585" s="139" t="s">
        <v>169</v>
      </c>
      <c r="E585" s="139" t="s">
        <v>1382</v>
      </c>
      <c r="F585" s="121">
        <v>0</v>
      </c>
      <c r="G585" s="119"/>
      <c r="H585" s="48"/>
    </row>
    <row r="586" spans="1:8">
      <c r="A586" s="139" t="s">
        <v>1383</v>
      </c>
      <c r="B586" s="139" t="s">
        <v>1384</v>
      </c>
      <c r="C586" s="139" t="s">
        <v>872</v>
      </c>
      <c r="D586" s="139" t="s">
        <v>157</v>
      </c>
      <c r="E586" s="139" t="s">
        <v>100</v>
      </c>
      <c r="F586" s="121">
        <v>0</v>
      </c>
      <c r="G586" s="119"/>
      <c r="H586" s="48"/>
    </row>
    <row r="587" spans="1:8">
      <c r="A587" s="139" t="s">
        <v>1385</v>
      </c>
      <c r="B587" s="139" t="s">
        <v>1386</v>
      </c>
      <c r="C587" s="139" t="s">
        <v>156</v>
      </c>
      <c r="D587" s="139" t="s">
        <v>162</v>
      </c>
      <c r="E587" s="139" t="s">
        <v>100</v>
      </c>
      <c r="F587" s="121">
        <v>0</v>
      </c>
      <c r="G587" s="119"/>
      <c r="H587" s="48">
        <f t="shared" si="9"/>
        <v>0</v>
      </c>
    </row>
    <row r="588" spans="1:8">
      <c r="A588" s="139" t="s">
        <v>1387</v>
      </c>
      <c r="B588" s="139" t="s">
        <v>1388</v>
      </c>
      <c r="C588" s="139" t="s">
        <v>872</v>
      </c>
      <c r="D588" s="139" t="s">
        <v>162</v>
      </c>
      <c r="E588" s="139" t="s">
        <v>100</v>
      </c>
      <c r="F588" s="121">
        <v>0</v>
      </c>
      <c r="G588" s="119"/>
      <c r="H588" s="48">
        <f t="shared" si="9"/>
        <v>0</v>
      </c>
    </row>
    <row r="589" spans="1:8">
      <c r="A589" s="139" t="s">
        <v>1389</v>
      </c>
      <c r="B589" s="139" t="s">
        <v>1390</v>
      </c>
      <c r="C589" s="139" t="s">
        <v>156</v>
      </c>
      <c r="D589" s="139" t="s">
        <v>162</v>
      </c>
      <c r="E589" s="139" t="s">
        <v>100</v>
      </c>
      <c r="F589" s="121">
        <v>0</v>
      </c>
      <c r="G589" s="119"/>
      <c r="H589" s="48">
        <f t="shared" si="9"/>
        <v>0</v>
      </c>
    </row>
    <row r="590" spans="1:8">
      <c r="A590" s="139" t="s">
        <v>1391</v>
      </c>
      <c r="B590" s="139" t="s">
        <v>1392</v>
      </c>
      <c r="C590" s="139" t="s">
        <v>872</v>
      </c>
      <c r="D590" s="139" t="s">
        <v>169</v>
      </c>
      <c r="E590" s="139" t="s">
        <v>1393</v>
      </c>
      <c r="F590" s="121">
        <v>0</v>
      </c>
      <c r="G590" s="119"/>
      <c r="H590" s="48"/>
    </row>
    <row r="591" spans="1:8">
      <c r="A591" s="139" t="s">
        <v>1394</v>
      </c>
      <c r="B591" s="139" t="s">
        <v>1152</v>
      </c>
      <c r="C591" s="139" t="s">
        <v>872</v>
      </c>
      <c r="D591" s="139" t="s">
        <v>169</v>
      </c>
      <c r="E591" s="139" t="s">
        <v>1395</v>
      </c>
      <c r="F591" s="121">
        <v>0</v>
      </c>
      <c r="G591" s="119"/>
      <c r="H591" s="48"/>
    </row>
    <row r="592" spans="1:8">
      <c r="A592" s="139" t="s">
        <v>1396</v>
      </c>
      <c r="B592" s="139" t="s">
        <v>1397</v>
      </c>
      <c r="C592" s="139" t="s">
        <v>872</v>
      </c>
      <c r="D592" s="139" t="s">
        <v>169</v>
      </c>
      <c r="E592" s="139" t="s">
        <v>1398</v>
      </c>
      <c r="F592" s="121">
        <v>0</v>
      </c>
      <c r="G592" s="119"/>
      <c r="H592" s="48"/>
    </row>
    <row r="593" spans="1:8">
      <c r="A593" s="139" t="s">
        <v>1399</v>
      </c>
      <c r="B593" s="139" t="s">
        <v>1400</v>
      </c>
      <c r="C593" s="139" t="s">
        <v>872</v>
      </c>
      <c r="D593" s="139" t="s">
        <v>157</v>
      </c>
      <c r="E593" s="139" t="s">
        <v>100</v>
      </c>
      <c r="F593" s="121">
        <v>0</v>
      </c>
      <c r="G593" s="119"/>
      <c r="H593" s="48"/>
    </row>
    <row r="594" spans="1:8">
      <c r="A594" s="139" t="s">
        <v>1401</v>
      </c>
      <c r="B594" s="139" t="s">
        <v>1402</v>
      </c>
      <c r="C594" s="139" t="s">
        <v>872</v>
      </c>
      <c r="D594" s="139" t="s">
        <v>162</v>
      </c>
      <c r="E594" s="139" t="s">
        <v>100</v>
      </c>
      <c r="F594" s="121">
        <v>0</v>
      </c>
      <c r="G594" s="119"/>
      <c r="H594" s="48">
        <f t="shared" si="9"/>
        <v>0</v>
      </c>
    </row>
    <row r="595" spans="1:8">
      <c r="A595" s="139" t="s">
        <v>1403</v>
      </c>
      <c r="B595" s="139" t="s">
        <v>1404</v>
      </c>
      <c r="C595" s="139" t="s">
        <v>872</v>
      </c>
      <c r="D595" s="139" t="s">
        <v>162</v>
      </c>
      <c r="E595" s="139" t="s">
        <v>100</v>
      </c>
      <c r="F595" s="121">
        <v>0</v>
      </c>
      <c r="G595" s="119"/>
      <c r="H595" s="48">
        <f t="shared" si="9"/>
        <v>0</v>
      </c>
    </row>
    <row r="596" spans="1:8">
      <c r="A596" s="139" t="s">
        <v>1405</v>
      </c>
      <c r="B596" s="139" t="s">
        <v>1406</v>
      </c>
      <c r="C596" s="139" t="s">
        <v>872</v>
      </c>
      <c r="D596" s="139" t="s">
        <v>162</v>
      </c>
      <c r="E596" s="139" t="s">
        <v>100</v>
      </c>
      <c r="F596" s="121">
        <v>-16459</v>
      </c>
      <c r="G596" s="119"/>
      <c r="H596" s="48">
        <f t="shared" si="9"/>
        <v>-16459</v>
      </c>
    </row>
    <row r="597" spans="1:8">
      <c r="A597" s="139" t="s">
        <v>1407</v>
      </c>
      <c r="B597" s="139" t="s">
        <v>1408</v>
      </c>
      <c r="C597" s="139" t="s">
        <v>872</v>
      </c>
      <c r="D597" s="139" t="s">
        <v>169</v>
      </c>
      <c r="E597" s="139" t="s">
        <v>1409</v>
      </c>
      <c r="F597" s="121">
        <v>-16459</v>
      </c>
      <c r="G597" s="119"/>
      <c r="H597" s="48"/>
    </row>
    <row r="598" spans="1:8">
      <c r="A598" s="139" t="s">
        <v>1410</v>
      </c>
      <c r="B598" s="139" t="s">
        <v>1411</v>
      </c>
      <c r="C598" s="139" t="s">
        <v>872</v>
      </c>
      <c r="D598" s="139" t="s">
        <v>157</v>
      </c>
      <c r="E598" s="139" t="s">
        <v>100</v>
      </c>
      <c r="F598" s="121">
        <v>0</v>
      </c>
      <c r="G598" s="119"/>
      <c r="H598" s="48"/>
    </row>
    <row r="599" spans="1:8">
      <c r="A599" s="139" t="s">
        <v>1412</v>
      </c>
      <c r="B599" s="139" t="s">
        <v>1413</v>
      </c>
      <c r="C599" s="139" t="s">
        <v>872</v>
      </c>
      <c r="D599" s="139" t="s">
        <v>162</v>
      </c>
      <c r="E599" s="139" t="s">
        <v>100</v>
      </c>
      <c r="F599" s="121">
        <v>0</v>
      </c>
      <c r="G599" s="119"/>
      <c r="H599" s="48">
        <f t="shared" ref="H599:H611" si="10">SUM(F599:G599)</f>
        <v>0</v>
      </c>
    </row>
    <row r="600" spans="1:8">
      <c r="A600" s="139" t="s">
        <v>1414</v>
      </c>
      <c r="B600" s="139" t="s">
        <v>1415</v>
      </c>
      <c r="C600" s="139" t="s">
        <v>872</v>
      </c>
      <c r="D600" s="139" t="s">
        <v>162</v>
      </c>
      <c r="E600" s="139" t="s">
        <v>100</v>
      </c>
      <c r="F600" s="121">
        <v>0</v>
      </c>
      <c r="G600" s="119"/>
      <c r="H600" s="48">
        <f t="shared" si="10"/>
        <v>0</v>
      </c>
    </row>
    <row r="601" spans="1:8">
      <c r="A601" s="139" t="s">
        <v>1416</v>
      </c>
      <c r="B601" s="139" t="s">
        <v>1417</v>
      </c>
      <c r="C601" s="139" t="s">
        <v>872</v>
      </c>
      <c r="D601" s="139" t="s">
        <v>162</v>
      </c>
      <c r="E601" s="139" t="s">
        <v>100</v>
      </c>
      <c r="F601" s="121">
        <v>3911.39</v>
      </c>
      <c r="G601" s="119"/>
      <c r="H601" s="48">
        <f t="shared" si="10"/>
        <v>3911.39</v>
      </c>
    </row>
    <row r="602" spans="1:8">
      <c r="A602" s="139" t="s">
        <v>1418</v>
      </c>
      <c r="B602" s="139" t="s">
        <v>515</v>
      </c>
      <c r="C602" s="139" t="s">
        <v>872</v>
      </c>
      <c r="D602" s="139" t="s">
        <v>162</v>
      </c>
      <c r="E602" s="139" t="s">
        <v>100</v>
      </c>
      <c r="F602" s="121">
        <v>-1538540.39</v>
      </c>
      <c r="G602" s="119"/>
      <c r="H602" s="48">
        <f t="shared" si="10"/>
        <v>-1538540.39</v>
      </c>
    </row>
    <row r="603" spans="1:8">
      <c r="A603" s="139" t="s">
        <v>1419</v>
      </c>
      <c r="B603" s="139" t="s">
        <v>1420</v>
      </c>
      <c r="C603" s="139" t="s">
        <v>872</v>
      </c>
      <c r="D603" s="139" t="s">
        <v>169</v>
      </c>
      <c r="E603" s="139" t="s">
        <v>1421</v>
      </c>
      <c r="F603" s="121">
        <v>-1534629</v>
      </c>
      <c r="G603" s="119"/>
      <c r="H603" s="48"/>
    </row>
    <row r="604" spans="1:8">
      <c r="A604" s="139" t="s">
        <v>1422</v>
      </c>
      <c r="B604" s="139" t="s">
        <v>1423</v>
      </c>
      <c r="C604" s="139" t="s">
        <v>872</v>
      </c>
      <c r="D604" s="139" t="s">
        <v>157</v>
      </c>
      <c r="E604" s="139" t="s">
        <v>100</v>
      </c>
      <c r="F604" s="121">
        <v>0</v>
      </c>
      <c r="G604" s="119"/>
      <c r="H604" s="48">
        <f t="shared" si="10"/>
        <v>0</v>
      </c>
    </row>
    <row r="605" spans="1:8">
      <c r="A605" s="139" t="s">
        <v>1424</v>
      </c>
      <c r="B605" s="139" t="s">
        <v>1425</v>
      </c>
      <c r="C605" s="139" t="s">
        <v>872</v>
      </c>
      <c r="D605" s="139" t="s">
        <v>162</v>
      </c>
      <c r="E605" s="139" t="s">
        <v>100</v>
      </c>
      <c r="F605" s="121">
        <v>-300</v>
      </c>
      <c r="G605" s="119"/>
      <c r="H605" s="48">
        <f t="shared" si="10"/>
        <v>-300</v>
      </c>
    </row>
    <row r="606" spans="1:8">
      <c r="A606" s="139" t="s">
        <v>1426</v>
      </c>
      <c r="B606" s="139" t="s">
        <v>1427</v>
      </c>
      <c r="C606" s="139" t="s">
        <v>872</v>
      </c>
      <c r="D606" s="139" t="s">
        <v>162</v>
      </c>
      <c r="E606" s="139" t="s">
        <v>100</v>
      </c>
      <c r="F606" s="121">
        <v>4718.75</v>
      </c>
      <c r="G606" s="119"/>
      <c r="H606" s="48">
        <f t="shared" si="10"/>
        <v>4718.75</v>
      </c>
    </row>
    <row r="607" spans="1:8">
      <c r="A607" s="139" t="s">
        <v>1428</v>
      </c>
      <c r="B607" s="139" t="s">
        <v>1429</v>
      </c>
      <c r="C607" s="139" t="s">
        <v>872</v>
      </c>
      <c r="D607" s="139" t="s">
        <v>162</v>
      </c>
      <c r="E607" s="139" t="s">
        <v>100</v>
      </c>
      <c r="F607" s="121">
        <v>-7303.26</v>
      </c>
      <c r="G607" s="119"/>
      <c r="H607" s="48">
        <f t="shared" si="10"/>
        <v>-7303.26</v>
      </c>
    </row>
    <row r="608" spans="1:8">
      <c r="A608" s="139" t="s">
        <v>1430</v>
      </c>
      <c r="B608" s="139" t="s">
        <v>1431</v>
      </c>
      <c r="C608" s="139" t="s">
        <v>872</v>
      </c>
      <c r="D608" s="139" t="s">
        <v>162</v>
      </c>
      <c r="E608" s="139" t="s">
        <v>100</v>
      </c>
      <c r="F608" s="121">
        <v>0</v>
      </c>
      <c r="G608" s="119"/>
      <c r="H608" s="48">
        <f t="shared" si="10"/>
        <v>0</v>
      </c>
    </row>
    <row r="609" spans="1:8">
      <c r="A609" s="139" t="s">
        <v>1432</v>
      </c>
      <c r="B609" s="139" t="s">
        <v>1433</v>
      </c>
      <c r="C609" s="139" t="s">
        <v>156</v>
      </c>
      <c r="D609" s="139" t="s">
        <v>162</v>
      </c>
      <c r="E609" s="139" t="s">
        <v>100</v>
      </c>
      <c r="F609" s="121">
        <v>151704.79999999999</v>
      </c>
      <c r="G609" s="119"/>
      <c r="H609" s="48">
        <f t="shared" si="10"/>
        <v>151704.79999999999</v>
      </c>
    </row>
    <row r="610" spans="1:8">
      <c r="A610" s="139" t="s">
        <v>1434</v>
      </c>
      <c r="B610" s="139" t="s">
        <v>1435</v>
      </c>
      <c r="C610" s="139" t="s">
        <v>156</v>
      </c>
      <c r="D610" s="139" t="s">
        <v>162</v>
      </c>
      <c r="E610" s="139" t="s">
        <v>100</v>
      </c>
      <c r="F610" s="121">
        <v>-151704.79999999999</v>
      </c>
      <c r="G610" s="119"/>
      <c r="H610" s="48">
        <f t="shared" si="10"/>
        <v>-151704.79999999999</v>
      </c>
    </row>
    <row r="611" spans="1:8">
      <c r="A611" s="139" t="s">
        <v>1436</v>
      </c>
      <c r="B611" s="139" t="s">
        <v>1437</v>
      </c>
      <c r="C611" s="139" t="s">
        <v>872</v>
      </c>
      <c r="D611" s="139" t="s">
        <v>162</v>
      </c>
      <c r="E611" s="139" t="s">
        <v>100</v>
      </c>
      <c r="F611" s="121">
        <v>0</v>
      </c>
      <c r="G611" s="119"/>
      <c r="H611" s="48">
        <f t="shared" si="10"/>
        <v>0</v>
      </c>
    </row>
    <row r="612" spans="1:8">
      <c r="A612" s="139" t="s">
        <v>1438</v>
      </c>
      <c r="B612" s="139" t="s">
        <v>1439</v>
      </c>
      <c r="C612" s="139" t="s">
        <v>872</v>
      </c>
      <c r="D612" s="139" t="s">
        <v>169</v>
      </c>
      <c r="E612" s="139" t="s">
        <v>1440</v>
      </c>
      <c r="F612" s="121">
        <v>-2884.51</v>
      </c>
      <c r="G612" s="119"/>
      <c r="H612" s="48"/>
    </row>
    <row r="613" spans="1:8">
      <c r="A613" s="139" t="s">
        <v>1441</v>
      </c>
      <c r="B613" s="139" t="s">
        <v>1442</v>
      </c>
      <c r="C613" s="139" t="s">
        <v>872</v>
      </c>
      <c r="D613" s="139" t="s">
        <v>169</v>
      </c>
      <c r="E613" s="139" t="s">
        <v>1443</v>
      </c>
      <c r="F613" s="121">
        <v>-4372574.82</v>
      </c>
      <c r="G613" s="119"/>
      <c r="H613" s="48"/>
    </row>
    <row r="614" spans="1:8">
      <c r="A614" s="139" t="s">
        <v>1444</v>
      </c>
      <c r="B614" s="139" t="s">
        <v>1445</v>
      </c>
      <c r="C614" s="139" t="s">
        <v>872</v>
      </c>
      <c r="D614" s="139" t="s">
        <v>169</v>
      </c>
      <c r="E614" s="139" t="s">
        <v>1446</v>
      </c>
      <c r="F614" s="121">
        <v>-73611316.980000004</v>
      </c>
      <c r="G614" s="119"/>
      <c r="H614" s="48"/>
    </row>
    <row r="615" spans="1:8">
      <c r="G615" s="124">
        <f>SUM(G3:G614)</f>
        <v>499999.99999999983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6E1CE-FCC1-4564-8A70-FF10D405315A}">
  <dimension ref="A1:Q616"/>
  <sheetViews>
    <sheetView topLeftCell="A328" workbookViewId="0">
      <selection activeCell="F338" sqref="F338"/>
    </sheetView>
  </sheetViews>
  <sheetFormatPr baseColWidth="10" defaultColWidth="8.5" defaultRowHeight="14"/>
  <cols>
    <col min="1" max="1" width="10.5" bestFit="1" customWidth="1"/>
    <col min="2" max="2" width="34.5" bestFit="1" customWidth="1"/>
    <col min="3" max="3" width="5.5" customWidth="1"/>
    <col min="4" max="4" width="8" bestFit="1" customWidth="1"/>
    <col min="5" max="5" width="3" customWidth="1"/>
    <col min="6" max="6" width="13" bestFit="1" customWidth="1"/>
    <col min="7" max="7" width="14" bestFit="1" customWidth="1"/>
    <col min="9" max="9" width="12" customWidth="1"/>
    <col min="10" max="10" width="17" customWidth="1"/>
    <col min="11" max="11" width="12" bestFit="1" customWidth="1"/>
    <col min="12" max="13" width="11.5" bestFit="1" customWidth="1"/>
    <col min="14" max="14" width="9.5" bestFit="1" customWidth="1"/>
    <col min="15" max="15" width="10.5" bestFit="1" customWidth="1"/>
    <col min="16" max="17" width="9.5" bestFit="1" customWidth="1"/>
  </cols>
  <sheetData>
    <row r="1" spans="1:8" ht="16">
      <c r="A1" s="269" t="s">
        <v>146</v>
      </c>
      <c r="B1" s="268"/>
      <c r="C1" s="268"/>
      <c r="D1" s="268"/>
      <c r="E1" s="268"/>
      <c r="F1" s="267">
        <v>43921</v>
      </c>
      <c r="G1" s="268"/>
      <c r="H1" s="268"/>
    </row>
    <row r="2" spans="1:8" ht="108">
      <c r="A2" s="270" t="s">
        <v>147</v>
      </c>
      <c r="B2" s="270" t="s">
        <v>148</v>
      </c>
      <c r="C2" s="270" t="s">
        <v>149</v>
      </c>
      <c r="D2" s="270" t="s">
        <v>150</v>
      </c>
      <c r="E2" s="270" t="s">
        <v>151</v>
      </c>
      <c r="F2" s="270" t="s">
        <v>152</v>
      </c>
      <c r="G2" s="270" t="s">
        <v>153</v>
      </c>
      <c r="H2" s="270"/>
    </row>
    <row r="3" spans="1:8">
      <c r="A3" s="271" t="s">
        <v>154</v>
      </c>
      <c r="B3" s="271" t="s">
        <v>155</v>
      </c>
      <c r="C3" s="271" t="s">
        <v>156</v>
      </c>
      <c r="D3" s="271" t="s">
        <v>157</v>
      </c>
      <c r="E3" s="271" t="s">
        <v>100</v>
      </c>
      <c r="F3" s="272">
        <v>0</v>
      </c>
      <c r="G3" s="272">
        <v>0</v>
      </c>
      <c r="H3" s="271"/>
    </row>
    <row r="4" spans="1:8">
      <c r="A4" s="271" t="s">
        <v>158</v>
      </c>
      <c r="B4" s="271" t="s">
        <v>159</v>
      </c>
      <c r="C4" s="271" t="s">
        <v>156</v>
      </c>
      <c r="D4" s="271" t="s">
        <v>157</v>
      </c>
      <c r="E4" s="271" t="s">
        <v>100</v>
      </c>
      <c r="F4" s="272">
        <v>0</v>
      </c>
      <c r="G4" s="272">
        <v>0</v>
      </c>
      <c r="H4" s="271"/>
    </row>
    <row r="5" spans="1:8">
      <c r="A5" s="271" t="s">
        <v>160</v>
      </c>
      <c r="B5" s="271" t="s">
        <v>161</v>
      </c>
      <c r="C5" s="271" t="s">
        <v>156</v>
      </c>
      <c r="D5" s="271" t="s">
        <v>162</v>
      </c>
      <c r="E5" s="271" t="s">
        <v>100</v>
      </c>
      <c r="F5" s="272">
        <v>-1992085</v>
      </c>
      <c r="G5" s="272">
        <v>-9593380</v>
      </c>
      <c r="H5" s="271"/>
    </row>
    <row r="6" spans="1:8">
      <c r="A6" s="271" t="s">
        <v>163</v>
      </c>
      <c r="B6" s="271" t="s">
        <v>164</v>
      </c>
      <c r="C6" s="271" t="s">
        <v>156</v>
      </c>
      <c r="D6" s="271" t="s">
        <v>162</v>
      </c>
      <c r="E6" s="271" t="s">
        <v>100</v>
      </c>
      <c r="F6" s="272">
        <v>23.75</v>
      </c>
      <c r="G6" s="272">
        <v>-134270</v>
      </c>
      <c r="H6" s="271"/>
    </row>
    <row r="7" spans="1:8">
      <c r="A7" s="271" t="s">
        <v>165</v>
      </c>
      <c r="B7" s="271" t="s">
        <v>166</v>
      </c>
      <c r="C7" s="271" t="s">
        <v>156</v>
      </c>
      <c r="D7" s="271" t="s">
        <v>162</v>
      </c>
      <c r="E7" s="271" t="s">
        <v>100</v>
      </c>
      <c r="F7" s="272">
        <v>-5033.1000000000004</v>
      </c>
      <c r="G7" s="272">
        <v>-41414.910000000003</v>
      </c>
      <c r="H7" s="271"/>
    </row>
    <row r="8" spans="1:8">
      <c r="A8" s="271" t="s">
        <v>167</v>
      </c>
      <c r="B8" s="271" t="s">
        <v>168</v>
      </c>
      <c r="C8" s="271" t="s">
        <v>156</v>
      </c>
      <c r="D8" s="271" t="s">
        <v>169</v>
      </c>
      <c r="E8" s="271" t="s">
        <v>170</v>
      </c>
      <c r="F8" s="272">
        <v>-1997094.35</v>
      </c>
      <c r="G8" s="272">
        <v>-9769064.9100000001</v>
      </c>
      <c r="H8" s="271"/>
    </row>
    <row r="9" spans="1:8">
      <c r="A9" s="271" t="s">
        <v>171</v>
      </c>
      <c r="B9" s="271" t="s">
        <v>172</v>
      </c>
      <c r="C9" s="271" t="s">
        <v>156</v>
      </c>
      <c r="D9" s="271" t="s">
        <v>157</v>
      </c>
      <c r="E9" s="271" t="s">
        <v>100</v>
      </c>
      <c r="F9" s="272">
        <v>0</v>
      </c>
      <c r="G9" s="272">
        <v>0</v>
      </c>
      <c r="H9" s="271"/>
    </row>
    <row r="10" spans="1:8">
      <c r="A10" s="271" t="s">
        <v>173</v>
      </c>
      <c r="B10" s="271" t="s">
        <v>174</v>
      </c>
      <c r="C10" s="271" t="s">
        <v>156</v>
      </c>
      <c r="D10" s="271" t="s">
        <v>162</v>
      </c>
      <c r="E10" s="271" t="s">
        <v>100</v>
      </c>
      <c r="F10" s="272">
        <v>0</v>
      </c>
      <c r="G10" s="272">
        <v>-7148832</v>
      </c>
      <c r="H10" s="271"/>
    </row>
    <row r="11" spans="1:8">
      <c r="A11" s="271" t="s">
        <v>175</v>
      </c>
      <c r="B11" s="271" t="s">
        <v>176</v>
      </c>
      <c r="C11" s="271" t="s">
        <v>156</v>
      </c>
      <c r="D11" s="271" t="s">
        <v>162</v>
      </c>
      <c r="E11" s="271" t="s">
        <v>100</v>
      </c>
      <c r="F11" s="272">
        <v>0</v>
      </c>
      <c r="G11" s="272">
        <v>-244094.85</v>
      </c>
      <c r="H11" s="271"/>
    </row>
    <row r="12" spans="1:8">
      <c r="A12" s="271" t="s">
        <v>177</v>
      </c>
      <c r="B12" s="271" t="s">
        <v>178</v>
      </c>
      <c r="C12" s="271" t="s">
        <v>156</v>
      </c>
      <c r="D12" s="271" t="s">
        <v>162</v>
      </c>
      <c r="E12" s="271" t="s">
        <v>100</v>
      </c>
      <c r="F12" s="272">
        <v>-28900.04</v>
      </c>
      <c r="G12" s="272">
        <v>-564226.21</v>
      </c>
      <c r="H12" s="271"/>
    </row>
    <row r="13" spans="1:8">
      <c r="A13" s="271" t="s">
        <v>179</v>
      </c>
      <c r="B13" s="271" t="s">
        <v>180</v>
      </c>
      <c r="C13" s="271" t="s">
        <v>156</v>
      </c>
      <c r="D13" s="271" t="s">
        <v>162</v>
      </c>
      <c r="E13" s="271" t="s">
        <v>100</v>
      </c>
      <c r="F13" s="272">
        <v>12400</v>
      </c>
      <c r="G13" s="272">
        <v>524752</v>
      </c>
      <c r="H13" s="271"/>
    </row>
    <row r="14" spans="1:8">
      <c r="A14" s="271" t="s">
        <v>181</v>
      </c>
      <c r="B14" s="271" t="s">
        <v>182</v>
      </c>
      <c r="C14" s="271" t="s">
        <v>156</v>
      </c>
      <c r="D14" s="271" t="s">
        <v>162</v>
      </c>
      <c r="E14" s="271" t="s">
        <v>100</v>
      </c>
      <c r="F14" s="272">
        <v>3400</v>
      </c>
      <c r="G14" s="272">
        <v>6700</v>
      </c>
      <c r="H14" s="271"/>
    </row>
    <row r="15" spans="1:8">
      <c r="A15" s="271" t="s">
        <v>183</v>
      </c>
      <c r="B15" s="271" t="s">
        <v>184</v>
      </c>
      <c r="C15" s="271" t="s">
        <v>156</v>
      </c>
      <c r="D15" s="271" t="s">
        <v>162</v>
      </c>
      <c r="E15" s="271" t="s">
        <v>100</v>
      </c>
      <c r="F15" s="272">
        <v>0</v>
      </c>
      <c r="G15" s="272">
        <v>-397575</v>
      </c>
      <c r="H15" s="271"/>
    </row>
    <row r="16" spans="1:8">
      <c r="A16" s="271" t="s">
        <v>185</v>
      </c>
      <c r="B16" s="271" t="s">
        <v>186</v>
      </c>
      <c r="C16" s="271" t="s">
        <v>156</v>
      </c>
      <c r="D16" s="271" t="s">
        <v>169</v>
      </c>
      <c r="E16" s="271" t="s">
        <v>187</v>
      </c>
      <c r="F16" s="272">
        <v>-13100.04</v>
      </c>
      <c r="G16" s="272">
        <v>-7823276.0599999996</v>
      </c>
      <c r="H16" s="271"/>
    </row>
    <row r="17" spans="1:8">
      <c r="A17" s="271" t="s">
        <v>188</v>
      </c>
      <c r="B17" s="271" t="s">
        <v>189</v>
      </c>
      <c r="C17" s="271" t="s">
        <v>156</v>
      </c>
      <c r="D17" s="271" t="s">
        <v>157</v>
      </c>
      <c r="E17" s="271" t="s">
        <v>100</v>
      </c>
      <c r="F17" s="272">
        <v>0</v>
      </c>
      <c r="G17" s="272">
        <v>0</v>
      </c>
      <c r="H17" s="271"/>
    </row>
    <row r="18" spans="1:8">
      <c r="A18" s="271" t="s">
        <v>190</v>
      </c>
      <c r="B18" s="271" t="s">
        <v>191</v>
      </c>
      <c r="C18" s="271" t="s">
        <v>156</v>
      </c>
      <c r="D18" s="271" t="s">
        <v>157</v>
      </c>
      <c r="E18" s="271" t="s">
        <v>100</v>
      </c>
      <c r="F18" s="272">
        <v>0</v>
      </c>
      <c r="G18" s="272">
        <v>0</v>
      </c>
      <c r="H18" s="271"/>
    </row>
    <row r="19" spans="1:8">
      <c r="A19" s="271" t="s">
        <v>192</v>
      </c>
      <c r="B19" s="271" t="s">
        <v>193</v>
      </c>
      <c r="C19" s="271" t="s">
        <v>156</v>
      </c>
      <c r="D19" s="271" t="s">
        <v>162</v>
      </c>
      <c r="E19" s="271" t="s">
        <v>100</v>
      </c>
      <c r="F19" s="272">
        <v>0</v>
      </c>
      <c r="G19" s="272">
        <v>-130995</v>
      </c>
      <c r="H19" s="271"/>
    </row>
    <row r="20" spans="1:8">
      <c r="A20" s="271" t="s">
        <v>194</v>
      </c>
      <c r="B20" s="271" t="s">
        <v>195</v>
      </c>
      <c r="C20" s="271" t="s">
        <v>156</v>
      </c>
      <c r="D20" s="271" t="s">
        <v>169</v>
      </c>
      <c r="E20" s="271" t="s">
        <v>196</v>
      </c>
      <c r="F20" s="272">
        <v>0</v>
      </c>
      <c r="G20" s="272">
        <v>-130995</v>
      </c>
      <c r="H20" s="271"/>
    </row>
    <row r="21" spans="1:8">
      <c r="A21" s="271" t="s">
        <v>197</v>
      </c>
      <c r="B21" s="271" t="s">
        <v>198</v>
      </c>
      <c r="C21" s="271" t="s">
        <v>156</v>
      </c>
      <c r="D21" s="271" t="s">
        <v>157</v>
      </c>
      <c r="E21" s="271" t="s">
        <v>100</v>
      </c>
      <c r="F21" s="272">
        <v>0</v>
      </c>
      <c r="G21" s="272">
        <v>0</v>
      </c>
      <c r="H21" s="271"/>
    </row>
    <row r="22" spans="1:8">
      <c r="A22" s="271" t="s">
        <v>199</v>
      </c>
      <c r="B22" s="271" t="s">
        <v>200</v>
      </c>
      <c r="C22" s="271" t="s">
        <v>156</v>
      </c>
      <c r="D22" s="271" t="s">
        <v>162</v>
      </c>
      <c r="E22" s="271" t="s">
        <v>100</v>
      </c>
      <c r="F22" s="272">
        <v>0</v>
      </c>
      <c r="G22" s="272">
        <v>-1291945.25</v>
      </c>
      <c r="H22" s="271"/>
    </row>
    <row r="23" spans="1:8">
      <c r="A23" s="271" t="s">
        <v>201</v>
      </c>
      <c r="B23" s="271" t="s">
        <v>202</v>
      </c>
      <c r="C23" s="271" t="s">
        <v>156</v>
      </c>
      <c r="D23" s="271" t="s">
        <v>162</v>
      </c>
      <c r="E23" s="271" t="s">
        <v>100</v>
      </c>
      <c r="F23" s="272">
        <v>-50000</v>
      </c>
      <c r="G23" s="272">
        <v>-55833.26</v>
      </c>
      <c r="H23" s="271"/>
    </row>
    <row r="24" spans="1:8">
      <c r="A24" s="271" t="s">
        <v>203</v>
      </c>
      <c r="B24" s="271" t="s">
        <v>204</v>
      </c>
      <c r="C24" s="271" t="s">
        <v>156</v>
      </c>
      <c r="D24" s="271" t="s">
        <v>162</v>
      </c>
      <c r="E24" s="271" t="s">
        <v>100</v>
      </c>
      <c r="F24" s="272">
        <v>3088.95</v>
      </c>
      <c r="G24" s="272">
        <v>128135.03</v>
      </c>
      <c r="H24" s="271"/>
    </row>
    <row r="25" spans="1:8">
      <c r="A25" s="271" t="s">
        <v>205</v>
      </c>
      <c r="B25" s="271" t="s">
        <v>206</v>
      </c>
      <c r="C25" s="271" t="s">
        <v>156</v>
      </c>
      <c r="D25" s="271" t="s">
        <v>162</v>
      </c>
      <c r="E25" s="271" t="s">
        <v>100</v>
      </c>
      <c r="F25" s="272">
        <v>1573.85</v>
      </c>
      <c r="G25" s="272">
        <v>98092.02</v>
      </c>
      <c r="H25" s="271"/>
    </row>
    <row r="26" spans="1:8">
      <c r="A26" s="271" t="s">
        <v>207</v>
      </c>
      <c r="B26" s="271" t="s">
        <v>208</v>
      </c>
      <c r="C26" s="271" t="s">
        <v>156</v>
      </c>
      <c r="D26" s="271" t="s">
        <v>162</v>
      </c>
      <c r="E26" s="271" t="s">
        <v>100</v>
      </c>
      <c r="F26" s="272">
        <v>7500</v>
      </c>
      <c r="G26" s="272">
        <v>373103.34</v>
      </c>
      <c r="H26" s="271"/>
    </row>
    <row r="27" spans="1:8">
      <c r="A27" s="271" t="s">
        <v>209</v>
      </c>
      <c r="B27" s="271" t="s">
        <v>210</v>
      </c>
      <c r="C27" s="271" t="s">
        <v>156</v>
      </c>
      <c r="D27" s="271" t="s">
        <v>162</v>
      </c>
      <c r="E27" s="271" t="s">
        <v>100</v>
      </c>
      <c r="F27" s="272">
        <v>17513.77</v>
      </c>
      <c r="G27" s="272">
        <v>538397.37</v>
      </c>
      <c r="H27" s="271"/>
    </row>
    <row r="28" spans="1:8">
      <c r="A28" s="271" t="s">
        <v>211</v>
      </c>
      <c r="B28" s="271" t="s">
        <v>212</v>
      </c>
      <c r="C28" s="271" t="s">
        <v>156</v>
      </c>
      <c r="D28" s="271" t="s">
        <v>162</v>
      </c>
      <c r="E28" s="271" t="s">
        <v>100</v>
      </c>
      <c r="F28" s="272">
        <v>0</v>
      </c>
      <c r="G28" s="272">
        <v>0</v>
      </c>
      <c r="H28" s="271"/>
    </row>
    <row r="29" spans="1:8">
      <c r="A29" s="271" t="s">
        <v>213</v>
      </c>
      <c r="B29" s="271" t="s">
        <v>214</v>
      </c>
      <c r="C29" s="271" t="s">
        <v>156</v>
      </c>
      <c r="D29" s="271" t="s">
        <v>162</v>
      </c>
      <c r="E29" s="271" t="s">
        <v>100</v>
      </c>
      <c r="F29" s="272">
        <v>9813.5</v>
      </c>
      <c r="G29" s="272">
        <v>11311.25</v>
      </c>
      <c r="H29" s="271"/>
    </row>
    <row r="30" spans="1:8">
      <c r="A30" s="271" t="s">
        <v>215</v>
      </c>
      <c r="B30" s="271" t="s">
        <v>216</v>
      </c>
      <c r="C30" s="271" t="s">
        <v>156</v>
      </c>
      <c r="D30" s="271" t="s">
        <v>162</v>
      </c>
      <c r="E30" s="271" t="s">
        <v>100</v>
      </c>
      <c r="F30" s="272">
        <v>0</v>
      </c>
      <c r="G30" s="272">
        <v>0</v>
      </c>
      <c r="H30" s="271"/>
    </row>
    <row r="31" spans="1:8">
      <c r="A31" s="271" t="s">
        <v>217</v>
      </c>
      <c r="B31" s="271" t="s">
        <v>218</v>
      </c>
      <c r="C31" s="271" t="s">
        <v>156</v>
      </c>
      <c r="D31" s="271" t="s">
        <v>162</v>
      </c>
      <c r="E31" s="271" t="s">
        <v>100</v>
      </c>
      <c r="F31" s="272">
        <v>9444.83</v>
      </c>
      <c r="G31" s="272">
        <v>34404.71</v>
      </c>
      <c r="H31" s="271"/>
    </row>
    <row r="32" spans="1:8">
      <c r="A32" s="271" t="s">
        <v>219</v>
      </c>
      <c r="B32" s="271" t="s">
        <v>220</v>
      </c>
      <c r="C32" s="271" t="s">
        <v>156</v>
      </c>
      <c r="D32" s="271" t="s">
        <v>162</v>
      </c>
      <c r="E32" s="271" t="s">
        <v>100</v>
      </c>
      <c r="F32" s="272">
        <v>6522.65</v>
      </c>
      <c r="G32" s="272">
        <v>21464.1</v>
      </c>
      <c r="H32" s="271"/>
    </row>
    <row r="33" spans="1:8">
      <c r="A33" s="271" t="s">
        <v>221</v>
      </c>
      <c r="B33" s="271" t="s">
        <v>222</v>
      </c>
      <c r="C33" s="271" t="s">
        <v>156</v>
      </c>
      <c r="D33" s="271" t="s">
        <v>169</v>
      </c>
      <c r="E33" s="271" t="s">
        <v>223</v>
      </c>
      <c r="F33" s="272">
        <v>5457.55</v>
      </c>
      <c r="G33" s="272">
        <v>-142870.69</v>
      </c>
      <c r="H33" s="271"/>
    </row>
    <row r="34" spans="1:8">
      <c r="A34" s="271" t="s">
        <v>224</v>
      </c>
      <c r="B34" s="271" t="s">
        <v>225</v>
      </c>
      <c r="C34" s="271" t="s">
        <v>156</v>
      </c>
      <c r="D34" s="271" t="s">
        <v>157</v>
      </c>
      <c r="E34" s="271" t="s">
        <v>100</v>
      </c>
      <c r="F34" s="272">
        <v>0</v>
      </c>
      <c r="G34" s="272">
        <v>0</v>
      </c>
      <c r="H34" s="271"/>
    </row>
    <row r="35" spans="1:8">
      <c r="A35" s="271" t="s">
        <v>226</v>
      </c>
      <c r="B35" s="271" t="s">
        <v>227</v>
      </c>
      <c r="C35" s="271" t="s">
        <v>156</v>
      </c>
      <c r="D35" s="271" t="s">
        <v>162</v>
      </c>
      <c r="E35" s="271" t="s">
        <v>100</v>
      </c>
      <c r="F35" s="272">
        <v>0</v>
      </c>
      <c r="G35" s="272">
        <v>-2211245.7999999998</v>
      </c>
      <c r="H35" s="271"/>
    </row>
    <row r="36" spans="1:8">
      <c r="A36" s="271" t="s">
        <v>228</v>
      </c>
      <c r="B36" s="271" t="s">
        <v>229</v>
      </c>
      <c r="C36" s="271" t="s">
        <v>156</v>
      </c>
      <c r="D36" s="271" t="s">
        <v>162</v>
      </c>
      <c r="E36" s="271" t="s">
        <v>100</v>
      </c>
      <c r="F36" s="272">
        <v>0</v>
      </c>
      <c r="G36" s="272">
        <v>143491.25</v>
      </c>
      <c r="H36" s="271"/>
    </row>
    <row r="37" spans="1:8">
      <c r="A37" s="271" t="s">
        <v>230</v>
      </c>
      <c r="B37" s="271" t="s">
        <v>231</v>
      </c>
      <c r="C37" s="271" t="s">
        <v>156</v>
      </c>
      <c r="D37" s="271" t="s">
        <v>162</v>
      </c>
      <c r="E37" s="271" t="s">
        <v>100</v>
      </c>
      <c r="F37" s="272">
        <v>0</v>
      </c>
      <c r="G37" s="272">
        <v>76613.320000000007</v>
      </c>
      <c r="H37" s="271"/>
    </row>
    <row r="38" spans="1:8">
      <c r="A38" s="271" t="s">
        <v>232</v>
      </c>
      <c r="B38" s="271" t="s">
        <v>233</v>
      </c>
      <c r="C38" s="271" t="s">
        <v>156</v>
      </c>
      <c r="D38" s="271" t="s">
        <v>162</v>
      </c>
      <c r="E38" s="271" t="s">
        <v>100</v>
      </c>
      <c r="F38" s="272">
        <v>0</v>
      </c>
      <c r="G38" s="272">
        <v>111927</v>
      </c>
      <c r="H38" s="271"/>
    </row>
    <row r="39" spans="1:8">
      <c r="A39" s="271" t="s">
        <v>234</v>
      </c>
      <c r="B39" s="271" t="s">
        <v>235</v>
      </c>
      <c r="C39" s="271" t="s">
        <v>156</v>
      </c>
      <c r="D39" s="271" t="s">
        <v>162</v>
      </c>
      <c r="E39" s="271" t="s">
        <v>100</v>
      </c>
      <c r="F39" s="272">
        <v>0</v>
      </c>
      <c r="G39" s="272">
        <v>-11717.4</v>
      </c>
      <c r="H39" s="271"/>
    </row>
    <row r="40" spans="1:8">
      <c r="A40" s="271" t="s">
        <v>236</v>
      </c>
      <c r="B40" s="271" t="s">
        <v>237</v>
      </c>
      <c r="C40" s="271" t="s">
        <v>156</v>
      </c>
      <c r="D40" s="271" t="s">
        <v>162</v>
      </c>
      <c r="E40" s="271" t="s">
        <v>100</v>
      </c>
      <c r="F40" s="272">
        <v>0</v>
      </c>
      <c r="G40" s="272">
        <v>5000</v>
      </c>
      <c r="H40" s="271"/>
    </row>
    <row r="41" spans="1:8">
      <c r="A41" s="271" t="s">
        <v>238</v>
      </c>
      <c r="B41" s="271" t="s">
        <v>239</v>
      </c>
      <c r="C41" s="271" t="s">
        <v>156</v>
      </c>
      <c r="D41" s="271" t="s">
        <v>162</v>
      </c>
      <c r="E41" s="271" t="s">
        <v>100</v>
      </c>
      <c r="F41" s="272">
        <v>0</v>
      </c>
      <c r="G41" s="272">
        <v>1785793.9</v>
      </c>
      <c r="H41" s="271"/>
    </row>
    <row r="42" spans="1:8">
      <c r="A42" s="271" t="s">
        <v>240</v>
      </c>
      <c r="B42" s="271" t="s">
        <v>241</v>
      </c>
      <c r="C42" s="271" t="s">
        <v>156</v>
      </c>
      <c r="D42" s="271" t="s">
        <v>169</v>
      </c>
      <c r="E42" s="271" t="s">
        <v>242</v>
      </c>
      <c r="F42" s="272">
        <v>0</v>
      </c>
      <c r="G42" s="272">
        <v>-100137.73</v>
      </c>
      <c r="H42" s="271"/>
    </row>
    <row r="43" spans="1:8">
      <c r="A43" s="271" t="s">
        <v>243</v>
      </c>
      <c r="B43" s="271" t="s">
        <v>244</v>
      </c>
      <c r="C43" s="271" t="s">
        <v>156</v>
      </c>
      <c r="D43" s="271" t="s">
        <v>157</v>
      </c>
      <c r="E43" s="271" t="s">
        <v>100</v>
      </c>
      <c r="F43" s="272">
        <v>0</v>
      </c>
      <c r="G43" s="272">
        <v>0</v>
      </c>
      <c r="H43" s="271"/>
    </row>
    <row r="44" spans="1:8">
      <c r="A44" s="271" t="s">
        <v>245</v>
      </c>
      <c r="B44" s="271" t="s">
        <v>246</v>
      </c>
      <c r="C44" s="271" t="s">
        <v>156</v>
      </c>
      <c r="D44" s="271" t="s">
        <v>162</v>
      </c>
      <c r="E44" s="271" t="s">
        <v>100</v>
      </c>
      <c r="F44" s="272">
        <v>-121749.85</v>
      </c>
      <c r="G44" s="272">
        <v>-2060344.6</v>
      </c>
      <c r="H44" s="271"/>
    </row>
    <row r="45" spans="1:8">
      <c r="A45" s="271" t="s">
        <v>247</v>
      </c>
      <c r="B45" s="271" t="s">
        <v>248</v>
      </c>
      <c r="C45" s="271" t="s">
        <v>156</v>
      </c>
      <c r="D45" s="271" t="s">
        <v>169</v>
      </c>
      <c r="E45" s="271" t="s">
        <v>249</v>
      </c>
      <c r="F45" s="272">
        <v>-121749.85</v>
      </c>
      <c r="G45" s="272">
        <v>-2060344.6</v>
      </c>
      <c r="H45" s="271"/>
    </row>
    <row r="46" spans="1:8">
      <c r="A46" s="271" t="s">
        <v>250</v>
      </c>
      <c r="B46" s="271" t="s">
        <v>251</v>
      </c>
      <c r="C46" s="271" t="s">
        <v>156</v>
      </c>
      <c r="D46" s="271" t="s">
        <v>169</v>
      </c>
      <c r="E46" s="271" t="s">
        <v>252</v>
      </c>
      <c r="F46" s="272">
        <v>-116292.3</v>
      </c>
      <c r="G46" s="272">
        <v>-2434348.02</v>
      </c>
      <c r="H46" s="271"/>
    </row>
    <row r="47" spans="1:8">
      <c r="A47" s="271" t="s">
        <v>253</v>
      </c>
      <c r="B47" s="271" t="s">
        <v>254</v>
      </c>
      <c r="C47" s="271" t="s">
        <v>156</v>
      </c>
      <c r="D47" s="271" t="s">
        <v>157</v>
      </c>
      <c r="E47" s="271" t="s">
        <v>100</v>
      </c>
      <c r="F47" s="272">
        <v>0</v>
      </c>
      <c r="G47" s="272">
        <v>0</v>
      </c>
      <c r="H47" s="271"/>
    </row>
    <row r="48" spans="1:8">
      <c r="A48" s="271" t="s">
        <v>255</v>
      </c>
      <c r="B48" s="271" t="s">
        <v>256</v>
      </c>
      <c r="C48" s="271" t="s">
        <v>156</v>
      </c>
      <c r="D48" s="271" t="s">
        <v>162</v>
      </c>
      <c r="E48" s="271" t="s">
        <v>100</v>
      </c>
      <c r="F48" s="272">
        <v>0</v>
      </c>
      <c r="G48" s="272">
        <v>0</v>
      </c>
      <c r="H48" s="271"/>
    </row>
    <row r="49" spans="1:8">
      <c r="A49" s="271" t="s">
        <v>257</v>
      </c>
      <c r="B49" s="271" t="s">
        <v>258</v>
      </c>
      <c r="C49" s="271" t="s">
        <v>156</v>
      </c>
      <c r="D49" s="271" t="s">
        <v>162</v>
      </c>
      <c r="E49" s="271" t="s">
        <v>100</v>
      </c>
      <c r="F49" s="272">
        <v>0</v>
      </c>
      <c r="G49" s="272">
        <v>0</v>
      </c>
      <c r="H49" s="271"/>
    </row>
    <row r="50" spans="1:8">
      <c r="A50" s="271" t="s">
        <v>259</v>
      </c>
      <c r="B50" s="271" t="s">
        <v>260</v>
      </c>
      <c r="C50" s="271" t="s">
        <v>156</v>
      </c>
      <c r="D50" s="271" t="s">
        <v>162</v>
      </c>
      <c r="E50" s="271" t="s">
        <v>100</v>
      </c>
      <c r="F50" s="272">
        <v>0</v>
      </c>
      <c r="G50" s="272">
        <v>0</v>
      </c>
      <c r="H50" s="271"/>
    </row>
    <row r="51" spans="1:8">
      <c r="A51" s="271" t="s">
        <v>261</v>
      </c>
      <c r="B51" s="271" t="s">
        <v>262</v>
      </c>
      <c r="C51" s="271" t="s">
        <v>156</v>
      </c>
      <c r="D51" s="271" t="s">
        <v>162</v>
      </c>
      <c r="E51" s="271" t="s">
        <v>100</v>
      </c>
      <c r="F51" s="272">
        <v>0</v>
      </c>
      <c r="G51" s="272">
        <v>0</v>
      </c>
      <c r="H51" s="271"/>
    </row>
    <row r="52" spans="1:8">
      <c r="A52" s="271" t="s">
        <v>263</v>
      </c>
      <c r="B52" s="271" t="s">
        <v>264</v>
      </c>
      <c r="C52" s="271" t="s">
        <v>156</v>
      </c>
      <c r="D52" s="271" t="s">
        <v>162</v>
      </c>
      <c r="E52" s="271" t="s">
        <v>100</v>
      </c>
      <c r="F52" s="272">
        <v>-969.8</v>
      </c>
      <c r="G52" s="272">
        <v>-9803.2800000000007</v>
      </c>
      <c r="H52" s="271"/>
    </row>
    <row r="53" spans="1:8">
      <c r="A53" s="271" t="s">
        <v>265</v>
      </c>
      <c r="B53" s="271" t="s">
        <v>266</v>
      </c>
      <c r="C53" s="271" t="s">
        <v>156</v>
      </c>
      <c r="D53" s="271" t="s">
        <v>162</v>
      </c>
      <c r="E53" s="271" t="s">
        <v>100</v>
      </c>
      <c r="F53" s="272">
        <v>9295.15</v>
      </c>
      <c r="G53" s="272">
        <v>25904.59</v>
      </c>
      <c r="H53" s="271"/>
    </row>
    <row r="54" spans="1:8">
      <c r="A54" s="271" t="s">
        <v>267</v>
      </c>
      <c r="B54" s="271" t="s">
        <v>268</v>
      </c>
      <c r="C54" s="271" t="s">
        <v>156</v>
      </c>
      <c r="D54" s="271" t="s">
        <v>162</v>
      </c>
      <c r="E54" s="271" t="s">
        <v>100</v>
      </c>
      <c r="F54" s="272">
        <v>0</v>
      </c>
      <c r="G54" s="272">
        <v>-29583.33</v>
      </c>
      <c r="H54" s="271"/>
    </row>
    <row r="55" spans="1:8">
      <c r="A55" s="271" t="s">
        <v>269</v>
      </c>
      <c r="B55" s="271" t="s">
        <v>270</v>
      </c>
      <c r="C55" s="271" t="s">
        <v>156</v>
      </c>
      <c r="D55" s="271" t="s">
        <v>162</v>
      </c>
      <c r="E55" s="271" t="s">
        <v>100</v>
      </c>
      <c r="F55" s="272">
        <v>-63961.599999999999</v>
      </c>
      <c r="G55" s="272">
        <v>-114457.60000000001</v>
      </c>
      <c r="H55" s="271"/>
    </row>
    <row r="56" spans="1:8">
      <c r="A56" s="271" t="s">
        <v>271</v>
      </c>
      <c r="B56" s="271" t="s">
        <v>272</v>
      </c>
      <c r="C56" s="271" t="s">
        <v>156</v>
      </c>
      <c r="D56" s="271" t="s">
        <v>162</v>
      </c>
      <c r="E56" s="271" t="s">
        <v>100</v>
      </c>
      <c r="F56" s="272">
        <v>0</v>
      </c>
      <c r="G56" s="272">
        <v>0</v>
      </c>
      <c r="H56" s="271"/>
    </row>
    <row r="57" spans="1:8">
      <c r="A57" s="271" t="s">
        <v>273</v>
      </c>
      <c r="B57" s="271" t="s">
        <v>274</v>
      </c>
      <c r="C57" s="271" t="s">
        <v>156</v>
      </c>
      <c r="D57" s="271" t="s">
        <v>162</v>
      </c>
      <c r="E57" s="271" t="s">
        <v>100</v>
      </c>
      <c r="F57" s="272">
        <v>169.31</v>
      </c>
      <c r="G57" s="272">
        <v>184.51</v>
      </c>
      <c r="H57" s="271"/>
    </row>
    <row r="58" spans="1:8">
      <c r="A58" s="271" t="s">
        <v>275</v>
      </c>
      <c r="B58" s="271" t="s">
        <v>254</v>
      </c>
      <c r="C58" s="271" t="s">
        <v>156</v>
      </c>
      <c r="D58" s="271" t="s">
        <v>169</v>
      </c>
      <c r="E58" s="271" t="s">
        <v>276</v>
      </c>
      <c r="F58" s="272">
        <v>-55466.94</v>
      </c>
      <c r="G58" s="272">
        <v>-127755.11</v>
      </c>
      <c r="H58" s="271"/>
    </row>
    <row r="59" spans="1:8">
      <c r="A59" s="271" t="s">
        <v>277</v>
      </c>
      <c r="B59" s="271" t="s">
        <v>278</v>
      </c>
      <c r="C59" s="271" t="s">
        <v>156</v>
      </c>
      <c r="D59" s="271" t="s">
        <v>169</v>
      </c>
      <c r="E59" s="271" t="s">
        <v>279</v>
      </c>
      <c r="F59" s="272">
        <v>-2181953.63</v>
      </c>
      <c r="G59" s="272">
        <v>-20154444.100000001</v>
      </c>
      <c r="H59" s="271"/>
    </row>
    <row r="60" spans="1:8">
      <c r="A60" s="271" t="s">
        <v>280</v>
      </c>
      <c r="B60" s="271" t="s">
        <v>281</v>
      </c>
      <c r="C60" s="271" t="s">
        <v>156</v>
      </c>
      <c r="D60" s="271" t="s">
        <v>157</v>
      </c>
      <c r="E60" s="271" t="s">
        <v>100</v>
      </c>
      <c r="F60" s="272">
        <v>0</v>
      </c>
      <c r="G60" s="272">
        <v>0</v>
      </c>
      <c r="H60" s="271"/>
    </row>
    <row r="61" spans="1:8">
      <c r="A61" s="271" t="s">
        <v>282</v>
      </c>
      <c r="B61" s="271" t="s">
        <v>281</v>
      </c>
      <c r="C61" s="271" t="s">
        <v>156</v>
      </c>
      <c r="D61" s="271" t="s">
        <v>157</v>
      </c>
      <c r="E61" s="271" t="s">
        <v>100</v>
      </c>
      <c r="F61" s="272">
        <v>0</v>
      </c>
      <c r="G61" s="272">
        <v>0</v>
      </c>
      <c r="H61" s="271"/>
    </row>
    <row r="62" spans="1:8">
      <c r="A62" s="271" t="s">
        <v>283</v>
      </c>
      <c r="B62" s="271" t="s">
        <v>284</v>
      </c>
      <c r="C62" s="271" t="s">
        <v>156</v>
      </c>
      <c r="D62" s="271" t="s">
        <v>157</v>
      </c>
      <c r="E62" s="271" t="s">
        <v>100</v>
      </c>
      <c r="F62" s="272">
        <v>0</v>
      </c>
      <c r="G62" s="272">
        <v>0</v>
      </c>
      <c r="H62" s="271"/>
    </row>
    <row r="63" spans="1:8">
      <c r="A63" s="271" t="s">
        <v>285</v>
      </c>
      <c r="B63" s="271" t="s">
        <v>286</v>
      </c>
      <c r="C63" s="271" t="s">
        <v>156</v>
      </c>
      <c r="D63" s="271" t="s">
        <v>157</v>
      </c>
      <c r="E63" s="271" t="s">
        <v>100</v>
      </c>
      <c r="F63" s="272">
        <v>0</v>
      </c>
      <c r="G63" s="272">
        <v>0</v>
      </c>
      <c r="H63" s="271"/>
    </row>
    <row r="64" spans="1:8">
      <c r="A64" s="271" t="s">
        <v>287</v>
      </c>
      <c r="B64" s="271" t="s">
        <v>288</v>
      </c>
      <c r="C64" s="271" t="s">
        <v>156</v>
      </c>
      <c r="D64" s="271" t="s">
        <v>162</v>
      </c>
      <c r="E64" s="271" t="s">
        <v>100</v>
      </c>
      <c r="F64" s="272">
        <v>1963033.24</v>
      </c>
      <c r="G64" s="272">
        <v>10422715.4</v>
      </c>
      <c r="H64" s="271"/>
    </row>
    <row r="65" spans="1:8">
      <c r="A65" s="271" t="s">
        <v>289</v>
      </c>
      <c r="B65" s="271" t="s">
        <v>290</v>
      </c>
      <c r="C65" s="271" t="s">
        <v>156</v>
      </c>
      <c r="D65" s="271" t="s">
        <v>162</v>
      </c>
      <c r="E65" s="271" t="s">
        <v>100</v>
      </c>
      <c r="F65" s="272">
        <v>0</v>
      </c>
      <c r="G65" s="272">
        <v>0</v>
      </c>
      <c r="H65" s="271"/>
    </row>
    <row r="66" spans="1:8">
      <c r="A66" s="271" t="s">
        <v>291</v>
      </c>
      <c r="B66" s="271" t="s">
        <v>292</v>
      </c>
      <c r="C66" s="271" t="s">
        <v>156</v>
      </c>
      <c r="D66" s="271" t="s">
        <v>162</v>
      </c>
      <c r="E66" s="271" t="s">
        <v>100</v>
      </c>
      <c r="F66" s="272">
        <v>0</v>
      </c>
      <c r="G66" s="272">
        <v>0</v>
      </c>
      <c r="H66" s="271"/>
    </row>
    <row r="67" spans="1:8">
      <c r="A67" s="271" t="s">
        <v>293</v>
      </c>
      <c r="B67" s="271" t="s">
        <v>294</v>
      </c>
      <c r="C67" s="271" t="s">
        <v>156</v>
      </c>
      <c r="D67" s="271" t="s">
        <v>162</v>
      </c>
      <c r="E67" s="271" t="s">
        <v>100</v>
      </c>
      <c r="F67" s="272">
        <v>-15716</v>
      </c>
      <c r="G67" s="272">
        <v>-238147.52</v>
      </c>
      <c r="H67" s="271"/>
    </row>
    <row r="68" spans="1:8">
      <c r="A68" s="271" t="s">
        <v>295</v>
      </c>
      <c r="B68" s="271" t="s">
        <v>296</v>
      </c>
      <c r="C68" s="271" t="s">
        <v>156</v>
      </c>
      <c r="D68" s="271" t="s">
        <v>162</v>
      </c>
      <c r="E68" s="271" t="s">
        <v>100</v>
      </c>
      <c r="F68" s="272">
        <v>104885.06</v>
      </c>
      <c r="G68" s="272">
        <v>565395.49</v>
      </c>
      <c r="H68" s="271"/>
    </row>
    <row r="69" spans="1:8">
      <c r="A69" s="271" t="s">
        <v>297</v>
      </c>
      <c r="B69" s="271" t="s">
        <v>298</v>
      </c>
      <c r="C69" s="271" t="s">
        <v>156</v>
      </c>
      <c r="D69" s="271" t="s">
        <v>162</v>
      </c>
      <c r="E69" s="271" t="s">
        <v>100</v>
      </c>
      <c r="F69" s="272">
        <v>228623.21</v>
      </c>
      <c r="G69" s="272">
        <v>1245898.47</v>
      </c>
      <c r="H69" s="271"/>
    </row>
    <row r="70" spans="1:8">
      <c r="A70" s="271" t="s">
        <v>299</v>
      </c>
      <c r="B70" s="271" t="s">
        <v>300</v>
      </c>
      <c r="C70" s="271" t="s">
        <v>156</v>
      </c>
      <c r="D70" s="271" t="s">
        <v>162</v>
      </c>
      <c r="E70" s="271" t="s">
        <v>100</v>
      </c>
      <c r="F70" s="272">
        <v>89028.69</v>
      </c>
      <c r="G70" s="272">
        <v>337902.6</v>
      </c>
      <c r="H70" s="271"/>
    </row>
    <row r="71" spans="1:8">
      <c r="A71" s="271" t="s">
        <v>301</v>
      </c>
      <c r="B71" s="271" t="s">
        <v>302</v>
      </c>
      <c r="C71" s="271" t="s">
        <v>156</v>
      </c>
      <c r="D71" s="271" t="s">
        <v>162</v>
      </c>
      <c r="E71" s="271" t="s">
        <v>100</v>
      </c>
      <c r="F71" s="272">
        <v>43775.68</v>
      </c>
      <c r="G71" s="272">
        <v>201878.92</v>
      </c>
      <c r="H71" s="271"/>
    </row>
    <row r="72" spans="1:8">
      <c r="A72" s="271" t="s">
        <v>303</v>
      </c>
      <c r="B72" s="271" t="s">
        <v>304</v>
      </c>
      <c r="C72" s="271" t="s">
        <v>156</v>
      </c>
      <c r="D72" s="271" t="s">
        <v>162</v>
      </c>
      <c r="E72" s="271" t="s">
        <v>100</v>
      </c>
      <c r="F72" s="272">
        <v>-107216.44</v>
      </c>
      <c r="G72" s="272">
        <v>-463045.94</v>
      </c>
      <c r="H72" s="271"/>
    </row>
    <row r="73" spans="1:8">
      <c r="A73" s="271" t="s">
        <v>305</v>
      </c>
      <c r="B73" s="271" t="s">
        <v>306</v>
      </c>
      <c r="C73" s="271" t="s">
        <v>156</v>
      </c>
      <c r="D73" s="271" t="s">
        <v>162</v>
      </c>
      <c r="E73" s="271" t="s">
        <v>100</v>
      </c>
      <c r="F73" s="272">
        <v>17040.66</v>
      </c>
      <c r="G73" s="272">
        <v>148194.44</v>
      </c>
      <c r="H73" s="271"/>
    </row>
    <row r="74" spans="1:8">
      <c r="A74" s="271" t="s">
        <v>307</v>
      </c>
      <c r="B74" s="271" t="s">
        <v>308</v>
      </c>
      <c r="C74" s="271" t="s">
        <v>156</v>
      </c>
      <c r="D74" s="271" t="s">
        <v>162</v>
      </c>
      <c r="E74" s="271" t="s">
        <v>100</v>
      </c>
      <c r="F74" s="272">
        <v>-4350.0600000000004</v>
      </c>
      <c r="G74" s="272">
        <v>-27491.43</v>
      </c>
      <c r="H74" s="271"/>
    </row>
    <row r="75" spans="1:8">
      <c r="A75" s="271" t="s">
        <v>309</v>
      </c>
      <c r="B75" s="271" t="s">
        <v>310</v>
      </c>
      <c r="C75" s="271" t="s">
        <v>156</v>
      </c>
      <c r="D75" s="271" t="s">
        <v>162</v>
      </c>
      <c r="E75" s="271" t="s">
        <v>100</v>
      </c>
      <c r="F75" s="272">
        <v>0</v>
      </c>
      <c r="G75" s="272">
        <v>0</v>
      </c>
      <c r="H75" s="271"/>
    </row>
    <row r="76" spans="1:8">
      <c r="A76" s="271" t="s">
        <v>311</v>
      </c>
      <c r="B76" s="271" t="s">
        <v>312</v>
      </c>
      <c r="C76" s="271" t="s">
        <v>156</v>
      </c>
      <c r="D76" s="271" t="s">
        <v>169</v>
      </c>
      <c r="E76" s="271" t="s">
        <v>313</v>
      </c>
      <c r="F76" s="272">
        <v>2319104.04</v>
      </c>
      <c r="G76" s="272">
        <v>12193300.43</v>
      </c>
      <c r="H76" s="271"/>
    </row>
    <row r="77" spans="1:8">
      <c r="A77" s="271" t="s">
        <v>314</v>
      </c>
      <c r="B77" s="271" t="s">
        <v>315</v>
      </c>
      <c r="C77" s="271" t="s">
        <v>156</v>
      </c>
      <c r="D77" s="271" t="s">
        <v>157</v>
      </c>
      <c r="E77" s="271" t="s">
        <v>100</v>
      </c>
      <c r="F77" s="272">
        <v>0</v>
      </c>
      <c r="G77" s="272">
        <v>0</v>
      </c>
      <c r="H77" s="271"/>
    </row>
    <row r="78" spans="1:8">
      <c r="A78" s="271" t="s">
        <v>316</v>
      </c>
      <c r="B78" s="271" t="s">
        <v>317</v>
      </c>
      <c r="C78" s="271" t="s">
        <v>156</v>
      </c>
      <c r="D78" s="271" t="s">
        <v>162</v>
      </c>
      <c r="E78" s="271" t="s">
        <v>100</v>
      </c>
      <c r="F78" s="272">
        <v>69236.639999999999</v>
      </c>
      <c r="G78" s="272">
        <v>505778.99</v>
      </c>
      <c r="H78" s="271"/>
    </row>
    <row r="79" spans="1:8">
      <c r="A79" s="271" t="s">
        <v>318</v>
      </c>
      <c r="B79" s="271" t="s">
        <v>319</v>
      </c>
      <c r="C79" s="271" t="s">
        <v>156</v>
      </c>
      <c r="D79" s="271" t="s">
        <v>162</v>
      </c>
      <c r="E79" s="271" t="s">
        <v>100</v>
      </c>
      <c r="F79" s="272">
        <v>0</v>
      </c>
      <c r="G79" s="272">
        <v>-17200.66</v>
      </c>
      <c r="H79" s="271"/>
    </row>
    <row r="80" spans="1:8">
      <c r="A80" s="271" t="s">
        <v>320</v>
      </c>
      <c r="B80" s="271" t="s">
        <v>321</v>
      </c>
      <c r="C80" s="271" t="s">
        <v>156</v>
      </c>
      <c r="D80" s="271" t="s">
        <v>162</v>
      </c>
      <c r="E80" s="271" t="s">
        <v>100</v>
      </c>
      <c r="F80" s="272">
        <v>14991.47</v>
      </c>
      <c r="G80" s="272">
        <v>167206.38</v>
      </c>
      <c r="H80" s="271"/>
    </row>
    <row r="81" spans="1:8">
      <c r="A81" s="271" t="s">
        <v>322</v>
      </c>
      <c r="B81" s="271" t="s">
        <v>323</v>
      </c>
      <c r="C81" s="271" t="s">
        <v>156</v>
      </c>
      <c r="D81" s="271" t="s">
        <v>162</v>
      </c>
      <c r="E81" s="271" t="s">
        <v>100</v>
      </c>
      <c r="F81" s="272">
        <v>17523.439999999999</v>
      </c>
      <c r="G81" s="272">
        <v>58402.54</v>
      </c>
      <c r="H81" s="271"/>
    </row>
    <row r="82" spans="1:8">
      <c r="A82" s="271" t="s">
        <v>324</v>
      </c>
      <c r="B82" s="271" t="s">
        <v>325</v>
      </c>
      <c r="C82" s="271" t="s">
        <v>156</v>
      </c>
      <c r="D82" s="271" t="s">
        <v>162</v>
      </c>
      <c r="E82" s="271" t="s">
        <v>100</v>
      </c>
      <c r="F82" s="272">
        <v>0</v>
      </c>
      <c r="G82" s="272">
        <v>6359.02</v>
      </c>
      <c r="H82" s="271"/>
    </row>
    <row r="83" spans="1:8">
      <c r="A83" s="271" t="s">
        <v>326</v>
      </c>
      <c r="B83" s="271" t="s">
        <v>327</v>
      </c>
      <c r="C83" s="271" t="s">
        <v>156</v>
      </c>
      <c r="D83" s="271" t="s">
        <v>162</v>
      </c>
      <c r="E83" s="271" t="s">
        <v>100</v>
      </c>
      <c r="F83" s="272">
        <v>0</v>
      </c>
      <c r="G83" s="272">
        <v>0</v>
      </c>
      <c r="H83" s="271"/>
    </row>
    <row r="84" spans="1:8">
      <c r="A84" s="271" t="s">
        <v>328</v>
      </c>
      <c r="B84" s="271" t="s">
        <v>329</v>
      </c>
      <c r="C84" s="271" t="s">
        <v>156</v>
      </c>
      <c r="D84" s="271" t="s">
        <v>169</v>
      </c>
      <c r="E84" s="271" t="s">
        <v>330</v>
      </c>
      <c r="F84" s="272">
        <v>101751.55</v>
      </c>
      <c r="G84" s="272">
        <v>720546.27</v>
      </c>
      <c r="H84" s="271"/>
    </row>
    <row r="85" spans="1:8">
      <c r="A85" s="271" t="s">
        <v>331</v>
      </c>
      <c r="B85" s="271" t="s">
        <v>332</v>
      </c>
      <c r="C85" s="271" t="s">
        <v>156</v>
      </c>
      <c r="D85" s="271" t="s">
        <v>157</v>
      </c>
      <c r="E85" s="271" t="s">
        <v>100</v>
      </c>
      <c r="F85" s="272">
        <v>0</v>
      </c>
      <c r="G85" s="272">
        <v>0</v>
      </c>
      <c r="H85" s="271"/>
    </row>
    <row r="86" spans="1:8">
      <c r="A86" s="271" t="s">
        <v>333</v>
      </c>
      <c r="B86" s="271" t="s">
        <v>334</v>
      </c>
      <c r="C86" s="271" t="s">
        <v>156</v>
      </c>
      <c r="D86" s="271" t="s">
        <v>162</v>
      </c>
      <c r="E86" s="271" t="s">
        <v>100</v>
      </c>
      <c r="F86" s="272">
        <v>10728.26</v>
      </c>
      <c r="G86" s="272">
        <v>164319.73000000001</v>
      </c>
      <c r="H86" s="271"/>
    </row>
    <row r="87" spans="1:8">
      <c r="A87" s="271" t="s">
        <v>335</v>
      </c>
      <c r="B87" s="271" t="s">
        <v>336</v>
      </c>
      <c r="C87" s="271" t="s">
        <v>156</v>
      </c>
      <c r="D87" s="271" t="s">
        <v>162</v>
      </c>
      <c r="E87" s="271" t="s">
        <v>100</v>
      </c>
      <c r="F87" s="272">
        <v>9346.26</v>
      </c>
      <c r="G87" s="272">
        <v>133564.19</v>
      </c>
      <c r="H87" s="271"/>
    </row>
    <row r="88" spans="1:8">
      <c r="A88" s="271" t="s">
        <v>337</v>
      </c>
      <c r="B88" s="271" t="s">
        <v>338</v>
      </c>
      <c r="C88" s="271" t="s">
        <v>156</v>
      </c>
      <c r="D88" s="271" t="s">
        <v>169</v>
      </c>
      <c r="E88" s="271" t="s">
        <v>339</v>
      </c>
      <c r="F88" s="272">
        <v>20074.52</v>
      </c>
      <c r="G88" s="272">
        <v>297883.92</v>
      </c>
      <c r="H88" s="271"/>
    </row>
    <row r="89" spans="1:8">
      <c r="A89" s="271" t="s">
        <v>340</v>
      </c>
      <c r="B89" s="271" t="s">
        <v>341</v>
      </c>
      <c r="C89" s="271" t="s">
        <v>156</v>
      </c>
      <c r="D89" s="271" t="s">
        <v>169</v>
      </c>
      <c r="E89" s="271" t="s">
        <v>342</v>
      </c>
      <c r="F89" s="272">
        <v>2440930.11</v>
      </c>
      <c r="G89" s="272">
        <v>13211730.619999999</v>
      </c>
      <c r="H89" s="271"/>
    </row>
    <row r="90" spans="1:8">
      <c r="A90" s="271" t="s">
        <v>343</v>
      </c>
      <c r="B90" s="271" t="s">
        <v>344</v>
      </c>
      <c r="C90" s="271" t="s">
        <v>156</v>
      </c>
      <c r="D90" s="271" t="s">
        <v>157</v>
      </c>
      <c r="E90" s="271" t="s">
        <v>100</v>
      </c>
      <c r="F90" s="272">
        <v>0</v>
      </c>
      <c r="G90" s="272">
        <v>0</v>
      </c>
      <c r="H90" s="271"/>
    </row>
    <row r="91" spans="1:8">
      <c r="A91" s="271" t="s">
        <v>345</v>
      </c>
      <c r="B91" s="271" t="s">
        <v>346</v>
      </c>
      <c r="C91" s="271" t="s">
        <v>156</v>
      </c>
      <c r="D91" s="271" t="s">
        <v>162</v>
      </c>
      <c r="E91" s="271" t="s">
        <v>100</v>
      </c>
      <c r="F91" s="272">
        <v>0</v>
      </c>
      <c r="G91" s="272">
        <v>1350</v>
      </c>
      <c r="H91" s="271"/>
    </row>
    <row r="92" spans="1:8">
      <c r="A92" s="271" t="s">
        <v>347</v>
      </c>
      <c r="B92" s="271" t="s">
        <v>348</v>
      </c>
      <c r="C92" s="271" t="s">
        <v>156</v>
      </c>
      <c r="D92" s="271" t="s">
        <v>162</v>
      </c>
      <c r="E92" s="271" t="s">
        <v>100</v>
      </c>
      <c r="F92" s="272">
        <v>18001.25</v>
      </c>
      <c r="G92" s="272">
        <v>52220.44</v>
      </c>
      <c r="H92" s="271"/>
    </row>
    <row r="93" spans="1:8">
      <c r="A93" s="271" t="s">
        <v>349</v>
      </c>
      <c r="B93" s="271" t="s">
        <v>350</v>
      </c>
      <c r="C93" s="271" t="s">
        <v>156</v>
      </c>
      <c r="D93" s="271" t="s">
        <v>162</v>
      </c>
      <c r="E93" s="271" t="s">
        <v>100</v>
      </c>
      <c r="F93" s="272">
        <v>0</v>
      </c>
      <c r="G93" s="272">
        <v>0</v>
      </c>
      <c r="H93" s="271"/>
    </row>
    <row r="94" spans="1:8">
      <c r="A94" s="271" t="s">
        <v>351</v>
      </c>
      <c r="B94" s="271" t="s">
        <v>352</v>
      </c>
      <c r="C94" s="271" t="s">
        <v>156</v>
      </c>
      <c r="D94" s="271" t="s">
        <v>162</v>
      </c>
      <c r="E94" s="271" t="s">
        <v>100</v>
      </c>
      <c r="F94" s="272">
        <v>330</v>
      </c>
      <c r="G94" s="272">
        <v>330</v>
      </c>
      <c r="H94" s="271"/>
    </row>
    <row r="95" spans="1:8">
      <c r="A95" s="271" t="s">
        <v>353</v>
      </c>
      <c r="B95" s="271" t="s">
        <v>354</v>
      </c>
      <c r="C95" s="271" t="s">
        <v>156</v>
      </c>
      <c r="D95" s="271" t="s">
        <v>162</v>
      </c>
      <c r="E95" s="271" t="s">
        <v>100</v>
      </c>
      <c r="F95" s="272">
        <v>13189.81</v>
      </c>
      <c r="G95" s="272">
        <v>418396.31</v>
      </c>
      <c r="H95" s="271"/>
    </row>
    <row r="96" spans="1:8">
      <c r="A96" s="271" t="s">
        <v>355</v>
      </c>
      <c r="B96" s="271" t="s">
        <v>356</v>
      </c>
      <c r="C96" s="271" t="s">
        <v>156</v>
      </c>
      <c r="D96" s="271" t="s">
        <v>162</v>
      </c>
      <c r="E96" s="271" t="s">
        <v>100</v>
      </c>
      <c r="F96" s="272">
        <v>0</v>
      </c>
      <c r="G96" s="272">
        <v>0</v>
      </c>
      <c r="H96" s="271"/>
    </row>
    <row r="97" spans="1:8">
      <c r="A97" s="271" t="s">
        <v>357</v>
      </c>
      <c r="B97" s="271" t="s">
        <v>358</v>
      </c>
      <c r="C97" s="271" t="s">
        <v>156</v>
      </c>
      <c r="D97" s="271" t="s">
        <v>162</v>
      </c>
      <c r="E97" s="271" t="s">
        <v>100</v>
      </c>
      <c r="F97" s="272">
        <v>0</v>
      </c>
      <c r="G97" s="272">
        <v>53998.559999999998</v>
      </c>
      <c r="H97" s="271"/>
    </row>
    <row r="98" spans="1:8">
      <c r="A98" s="271" t="s">
        <v>359</v>
      </c>
      <c r="B98" s="271" t="s">
        <v>360</v>
      </c>
      <c r="C98" s="271" t="s">
        <v>156</v>
      </c>
      <c r="D98" s="271" t="s">
        <v>162</v>
      </c>
      <c r="E98" s="271" t="s">
        <v>100</v>
      </c>
      <c r="F98" s="272">
        <v>13910</v>
      </c>
      <c r="G98" s="272">
        <v>44605.32</v>
      </c>
      <c r="H98" s="271"/>
    </row>
    <row r="99" spans="1:8">
      <c r="A99" s="271" t="s">
        <v>361</v>
      </c>
      <c r="B99" s="271" t="s">
        <v>362</v>
      </c>
      <c r="C99" s="271" t="s">
        <v>156</v>
      </c>
      <c r="D99" s="271" t="s">
        <v>162</v>
      </c>
      <c r="E99" s="271" t="s">
        <v>100</v>
      </c>
      <c r="F99" s="272">
        <v>0</v>
      </c>
      <c r="G99" s="272">
        <v>2365.4499999999998</v>
      </c>
      <c r="H99" s="271"/>
    </row>
    <row r="100" spans="1:8">
      <c r="A100" s="271" t="s">
        <v>363</v>
      </c>
      <c r="B100" s="271" t="s">
        <v>364</v>
      </c>
      <c r="C100" s="271" t="s">
        <v>156</v>
      </c>
      <c r="D100" s="271" t="s">
        <v>162</v>
      </c>
      <c r="E100" s="271" t="s">
        <v>100</v>
      </c>
      <c r="F100" s="272">
        <v>0</v>
      </c>
      <c r="G100" s="272">
        <v>1400</v>
      </c>
      <c r="H100" s="271"/>
    </row>
    <row r="101" spans="1:8">
      <c r="A101" s="271" t="s">
        <v>365</v>
      </c>
      <c r="B101" s="271" t="s">
        <v>366</v>
      </c>
      <c r="C101" s="271" t="s">
        <v>156</v>
      </c>
      <c r="D101" s="271" t="s">
        <v>162</v>
      </c>
      <c r="E101" s="271" t="s">
        <v>100</v>
      </c>
      <c r="F101" s="272">
        <v>0</v>
      </c>
      <c r="G101" s="272">
        <v>0</v>
      </c>
      <c r="H101" s="271"/>
    </row>
    <row r="102" spans="1:8">
      <c r="A102" s="271" t="s">
        <v>367</v>
      </c>
      <c r="B102" s="271" t="s">
        <v>368</v>
      </c>
      <c r="C102" s="271" t="s">
        <v>156</v>
      </c>
      <c r="D102" s="271" t="s">
        <v>169</v>
      </c>
      <c r="E102" s="271" t="s">
        <v>369</v>
      </c>
      <c r="F102" s="272">
        <v>45431.06</v>
      </c>
      <c r="G102" s="272">
        <v>574666.07999999996</v>
      </c>
      <c r="H102" s="271"/>
    </row>
    <row r="103" spans="1:8">
      <c r="A103" s="271" t="s">
        <v>370</v>
      </c>
      <c r="B103" s="271" t="s">
        <v>371</v>
      </c>
      <c r="C103" s="271" t="s">
        <v>156</v>
      </c>
      <c r="D103" s="271" t="s">
        <v>157</v>
      </c>
      <c r="E103" s="271" t="s">
        <v>100</v>
      </c>
      <c r="F103" s="272">
        <v>0</v>
      </c>
      <c r="G103" s="272">
        <v>0</v>
      </c>
      <c r="H103" s="271"/>
    </row>
    <row r="104" spans="1:8">
      <c r="A104" s="271" t="s">
        <v>372</v>
      </c>
      <c r="B104" s="271" t="s">
        <v>373</v>
      </c>
      <c r="C104" s="271" t="s">
        <v>156</v>
      </c>
      <c r="D104" s="271" t="s">
        <v>157</v>
      </c>
      <c r="E104" s="271" t="s">
        <v>100</v>
      </c>
      <c r="F104" s="272">
        <v>0</v>
      </c>
      <c r="G104" s="272">
        <v>0</v>
      </c>
      <c r="H104" s="271"/>
    </row>
    <row r="105" spans="1:8">
      <c r="A105" s="271" t="s">
        <v>374</v>
      </c>
      <c r="B105" s="271" t="s">
        <v>375</v>
      </c>
      <c r="C105" s="271" t="s">
        <v>156</v>
      </c>
      <c r="D105" s="271" t="s">
        <v>162</v>
      </c>
      <c r="E105" s="271" t="s">
        <v>100</v>
      </c>
      <c r="F105" s="272">
        <v>106728.24</v>
      </c>
      <c r="G105" s="272">
        <v>282495.18</v>
      </c>
      <c r="H105" s="271"/>
    </row>
    <row r="106" spans="1:8">
      <c r="A106" s="271" t="s">
        <v>376</v>
      </c>
      <c r="B106" s="271" t="s">
        <v>377</v>
      </c>
      <c r="C106" s="271" t="s">
        <v>156</v>
      </c>
      <c r="D106" s="271" t="s">
        <v>162</v>
      </c>
      <c r="E106" s="271" t="s">
        <v>100</v>
      </c>
      <c r="F106" s="272">
        <v>21551.61</v>
      </c>
      <c r="G106" s="272">
        <v>21551.61</v>
      </c>
      <c r="H106" s="271"/>
    </row>
    <row r="107" spans="1:8">
      <c r="A107" s="271" t="s">
        <v>378</v>
      </c>
      <c r="B107" s="271" t="s">
        <v>379</v>
      </c>
      <c r="C107" s="271" t="s">
        <v>156</v>
      </c>
      <c r="D107" s="271" t="s">
        <v>169</v>
      </c>
      <c r="E107" s="271" t="s">
        <v>380</v>
      </c>
      <c r="F107" s="272">
        <v>128279.85</v>
      </c>
      <c r="G107" s="272">
        <v>304046.78999999998</v>
      </c>
      <c r="H107" s="271"/>
    </row>
    <row r="108" spans="1:8">
      <c r="A108" s="271" t="s">
        <v>381</v>
      </c>
      <c r="B108" s="271" t="s">
        <v>382</v>
      </c>
      <c r="C108" s="271" t="s">
        <v>156</v>
      </c>
      <c r="D108" s="271" t="s">
        <v>157</v>
      </c>
      <c r="E108" s="271" t="s">
        <v>100</v>
      </c>
      <c r="F108" s="272">
        <v>0</v>
      </c>
      <c r="G108" s="272">
        <v>0</v>
      </c>
      <c r="H108" s="271"/>
    </row>
    <row r="109" spans="1:8">
      <c r="A109" s="271" t="s">
        <v>383</v>
      </c>
      <c r="B109" s="271" t="s">
        <v>384</v>
      </c>
      <c r="C109" s="271" t="s">
        <v>156</v>
      </c>
      <c r="D109" s="271" t="s">
        <v>162</v>
      </c>
      <c r="E109" s="271" t="s">
        <v>100</v>
      </c>
      <c r="F109" s="272">
        <v>22795.52</v>
      </c>
      <c r="G109" s="272">
        <v>44940.49</v>
      </c>
      <c r="H109" s="271"/>
    </row>
    <row r="110" spans="1:8">
      <c r="A110" s="271" t="s">
        <v>385</v>
      </c>
      <c r="B110" s="271" t="s">
        <v>386</v>
      </c>
      <c r="C110" s="271" t="s">
        <v>156</v>
      </c>
      <c r="D110" s="271" t="s">
        <v>162</v>
      </c>
      <c r="E110" s="271" t="s">
        <v>100</v>
      </c>
      <c r="F110" s="272">
        <v>0</v>
      </c>
      <c r="G110" s="272">
        <v>104166.19</v>
      </c>
      <c r="H110" s="271"/>
    </row>
    <row r="111" spans="1:8">
      <c r="A111" s="271" t="s">
        <v>387</v>
      </c>
      <c r="B111" s="271" t="s">
        <v>388</v>
      </c>
      <c r="C111" s="271" t="s">
        <v>156</v>
      </c>
      <c r="D111" s="271" t="s">
        <v>162</v>
      </c>
      <c r="E111" s="271" t="s">
        <v>100</v>
      </c>
      <c r="F111" s="272">
        <v>0</v>
      </c>
      <c r="G111" s="272">
        <v>-50466.41</v>
      </c>
      <c r="H111" s="271"/>
    </row>
    <row r="112" spans="1:8">
      <c r="A112" s="271" t="s">
        <v>389</v>
      </c>
      <c r="B112" s="271" t="s">
        <v>390</v>
      </c>
      <c r="C112" s="271" t="s">
        <v>156</v>
      </c>
      <c r="D112" s="271" t="s">
        <v>162</v>
      </c>
      <c r="E112" s="271" t="s">
        <v>100</v>
      </c>
      <c r="F112" s="272">
        <v>11748.21</v>
      </c>
      <c r="G112" s="272">
        <v>41302.33</v>
      </c>
      <c r="H112" s="271"/>
    </row>
    <row r="113" spans="1:8">
      <c r="A113" s="271" t="s">
        <v>391</v>
      </c>
      <c r="B113" s="271" t="s">
        <v>392</v>
      </c>
      <c r="C113" s="271" t="s">
        <v>156</v>
      </c>
      <c r="D113" s="271" t="s">
        <v>162</v>
      </c>
      <c r="E113" s="271" t="s">
        <v>100</v>
      </c>
      <c r="F113" s="272">
        <v>0</v>
      </c>
      <c r="G113" s="272">
        <v>0</v>
      </c>
      <c r="H113" s="271"/>
    </row>
    <row r="114" spans="1:8">
      <c r="A114" s="271" t="s">
        <v>393</v>
      </c>
      <c r="B114" s="271" t="s">
        <v>394</v>
      </c>
      <c r="C114" s="271" t="s">
        <v>156</v>
      </c>
      <c r="D114" s="271" t="s">
        <v>162</v>
      </c>
      <c r="E114" s="271" t="s">
        <v>100</v>
      </c>
      <c r="F114" s="272">
        <v>0</v>
      </c>
      <c r="G114" s="272">
        <v>0</v>
      </c>
      <c r="H114" s="271"/>
    </row>
    <row r="115" spans="1:8">
      <c r="A115" s="271" t="s">
        <v>395</v>
      </c>
      <c r="B115" s="271" t="s">
        <v>396</v>
      </c>
      <c r="C115" s="271" t="s">
        <v>156</v>
      </c>
      <c r="D115" s="271" t="s">
        <v>162</v>
      </c>
      <c r="E115" s="271" t="s">
        <v>100</v>
      </c>
      <c r="F115" s="272">
        <v>0</v>
      </c>
      <c r="G115" s="272">
        <v>-7665.02</v>
      </c>
      <c r="H115" s="271"/>
    </row>
    <row r="116" spans="1:8">
      <c r="A116" s="271" t="s">
        <v>397</v>
      </c>
      <c r="B116" s="271" t="s">
        <v>398</v>
      </c>
      <c r="C116" s="271" t="s">
        <v>156</v>
      </c>
      <c r="D116" s="271" t="s">
        <v>162</v>
      </c>
      <c r="E116" s="271" t="s">
        <v>100</v>
      </c>
      <c r="F116" s="272">
        <v>4250.6000000000004</v>
      </c>
      <c r="G116" s="272">
        <v>26769.52</v>
      </c>
      <c r="H116" s="271"/>
    </row>
    <row r="117" spans="1:8">
      <c r="A117" s="271" t="s">
        <v>399</v>
      </c>
      <c r="B117" s="271" t="s">
        <v>400</v>
      </c>
      <c r="C117" s="271" t="s">
        <v>156</v>
      </c>
      <c r="D117" s="271" t="s">
        <v>162</v>
      </c>
      <c r="E117" s="271" t="s">
        <v>100</v>
      </c>
      <c r="F117" s="272">
        <v>0</v>
      </c>
      <c r="G117" s="272">
        <v>6619.32</v>
      </c>
      <c r="H117" s="271"/>
    </row>
    <row r="118" spans="1:8">
      <c r="A118" s="271" t="s">
        <v>401</v>
      </c>
      <c r="B118" s="271" t="s">
        <v>402</v>
      </c>
      <c r="C118" s="271" t="s">
        <v>156</v>
      </c>
      <c r="D118" s="271" t="s">
        <v>162</v>
      </c>
      <c r="E118" s="271" t="s">
        <v>100</v>
      </c>
      <c r="F118" s="272">
        <v>0</v>
      </c>
      <c r="G118" s="272">
        <v>33058.9</v>
      </c>
      <c r="H118" s="271"/>
    </row>
    <row r="119" spans="1:8">
      <c r="A119" s="271" t="s">
        <v>403</v>
      </c>
      <c r="B119" s="271" t="s">
        <v>404</v>
      </c>
      <c r="C119" s="271" t="s">
        <v>156</v>
      </c>
      <c r="D119" s="271" t="s">
        <v>162</v>
      </c>
      <c r="E119" s="271" t="s">
        <v>100</v>
      </c>
      <c r="F119" s="272">
        <v>0</v>
      </c>
      <c r="G119" s="272">
        <v>0</v>
      </c>
      <c r="H119" s="271"/>
    </row>
    <row r="120" spans="1:8">
      <c r="A120" s="271" t="s">
        <v>405</v>
      </c>
      <c r="B120" s="271" t="s">
        <v>406</v>
      </c>
      <c r="C120" s="271" t="s">
        <v>156</v>
      </c>
      <c r="D120" s="271" t="s">
        <v>162</v>
      </c>
      <c r="E120" s="271" t="s">
        <v>100</v>
      </c>
      <c r="F120" s="272">
        <v>-280894.83</v>
      </c>
      <c r="G120" s="272">
        <v>-280894.83</v>
      </c>
      <c r="H120" s="271"/>
    </row>
    <row r="121" spans="1:8">
      <c r="A121" s="271" t="s">
        <v>407</v>
      </c>
      <c r="B121" s="271" t="s">
        <v>220</v>
      </c>
      <c r="C121" s="271" t="s">
        <v>156</v>
      </c>
      <c r="D121" s="271" t="s">
        <v>162</v>
      </c>
      <c r="E121" s="271" t="s">
        <v>100</v>
      </c>
      <c r="F121" s="272">
        <v>0</v>
      </c>
      <c r="G121" s="272">
        <v>0</v>
      </c>
      <c r="H121" s="271"/>
    </row>
    <row r="122" spans="1:8">
      <c r="A122" s="271" t="s">
        <v>408</v>
      </c>
      <c r="B122" s="271" t="s">
        <v>409</v>
      </c>
      <c r="C122" s="271" t="s">
        <v>156</v>
      </c>
      <c r="D122" s="271" t="s">
        <v>169</v>
      </c>
      <c r="E122" s="271" t="s">
        <v>410</v>
      </c>
      <c r="F122" s="272">
        <v>-242100.5</v>
      </c>
      <c r="G122" s="272">
        <v>-82169.509999999995</v>
      </c>
      <c r="H122" s="271"/>
    </row>
    <row r="123" spans="1:8">
      <c r="A123" s="271" t="s">
        <v>411</v>
      </c>
      <c r="B123" s="271" t="s">
        <v>412</v>
      </c>
      <c r="C123" s="271" t="s">
        <v>156</v>
      </c>
      <c r="D123" s="271" t="s">
        <v>157</v>
      </c>
      <c r="E123" s="271" t="s">
        <v>100</v>
      </c>
      <c r="F123" s="272">
        <v>0</v>
      </c>
      <c r="G123" s="272">
        <v>0</v>
      </c>
      <c r="H123" s="271"/>
    </row>
    <row r="124" spans="1:8">
      <c r="A124" s="271" t="s">
        <v>413</v>
      </c>
      <c r="B124" s="271" t="s">
        <v>414</v>
      </c>
      <c r="C124" s="271" t="s">
        <v>156</v>
      </c>
      <c r="D124" s="271" t="s">
        <v>162</v>
      </c>
      <c r="E124" s="271" t="s">
        <v>100</v>
      </c>
      <c r="F124" s="272">
        <v>0</v>
      </c>
      <c r="G124" s="272">
        <v>0</v>
      </c>
      <c r="H124" s="271"/>
    </row>
    <row r="125" spans="1:8">
      <c r="A125" s="271" t="s">
        <v>415</v>
      </c>
      <c r="B125" s="271" t="s">
        <v>416</v>
      </c>
      <c r="C125" s="271" t="s">
        <v>156</v>
      </c>
      <c r="D125" s="271" t="s">
        <v>169</v>
      </c>
      <c r="E125" s="271" t="s">
        <v>417</v>
      </c>
      <c r="F125" s="272">
        <v>0</v>
      </c>
      <c r="G125" s="272">
        <v>0</v>
      </c>
      <c r="H125" s="271"/>
    </row>
    <row r="126" spans="1:8">
      <c r="A126" s="271" t="s">
        <v>418</v>
      </c>
      <c r="B126" s="271" t="s">
        <v>419</v>
      </c>
      <c r="C126" s="271" t="s">
        <v>156</v>
      </c>
      <c r="D126" s="271" t="s">
        <v>157</v>
      </c>
      <c r="E126" s="271" t="s">
        <v>100</v>
      </c>
      <c r="F126" s="272">
        <v>0</v>
      </c>
      <c r="G126" s="272">
        <v>0</v>
      </c>
      <c r="H126" s="271"/>
    </row>
    <row r="127" spans="1:8">
      <c r="A127" s="271" t="s">
        <v>420</v>
      </c>
      <c r="B127" s="271" t="s">
        <v>56</v>
      </c>
      <c r="C127" s="271" t="s">
        <v>156</v>
      </c>
      <c r="D127" s="271" t="s">
        <v>162</v>
      </c>
      <c r="E127" s="271" t="s">
        <v>100</v>
      </c>
      <c r="F127" s="272">
        <v>0</v>
      </c>
      <c r="G127" s="272">
        <v>8214.75</v>
      </c>
      <c r="H127" s="271"/>
    </row>
    <row r="128" spans="1:8">
      <c r="A128" s="271" t="s">
        <v>421</v>
      </c>
      <c r="B128" s="271" t="s">
        <v>422</v>
      </c>
      <c r="C128" s="271" t="s">
        <v>156</v>
      </c>
      <c r="D128" s="271" t="s">
        <v>169</v>
      </c>
      <c r="E128" s="271" t="s">
        <v>423</v>
      </c>
      <c r="F128" s="272">
        <v>0</v>
      </c>
      <c r="G128" s="272">
        <v>8214.75</v>
      </c>
      <c r="H128" s="271"/>
    </row>
    <row r="129" spans="1:17">
      <c r="A129" s="271" t="s">
        <v>424</v>
      </c>
      <c r="B129" s="271" t="s">
        <v>425</v>
      </c>
      <c r="C129" s="271" t="s">
        <v>156</v>
      </c>
      <c r="D129" s="271" t="s">
        <v>169</v>
      </c>
      <c r="E129" s="271" t="s">
        <v>426</v>
      </c>
      <c r="F129" s="272">
        <v>-113820.65</v>
      </c>
      <c r="G129" s="272">
        <v>230092.03</v>
      </c>
      <c r="H129" s="271"/>
    </row>
    <row r="130" spans="1:17" ht="16">
      <c r="A130" s="271" t="s">
        <v>427</v>
      </c>
      <c r="B130" s="271" t="s">
        <v>428</v>
      </c>
      <c r="C130" s="271" t="s">
        <v>156</v>
      </c>
      <c r="D130" s="271" t="s">
        <v>157</v>
      </c>
      <c r="E130" s="271" t="s">
        <v>100</v>
      </c>
      <c r="F130" s="272">
        <v>0</v>
      </c>
      <c r="G130" s="272">
        <v>0</v>
      </c>
      <c r="H130" s="271"/>
      <c r="I130" s="269" t="s">
        <v>429</v>
      </c>
      <c r="J130" s="268"/>
      <c r="K130" s="268"/>
      <c r="L130" s="268"/>
      <c r="M130" s="268"/>
      <c r="N130" s="268"/>
      <c r="O130" s="268"/>
      <c r="P130" s="268"/>
      <c r="Q130" s="268"/>
    </row>
    <row r="131" spans="1:17" ht="24">
      <c r="A131" s="271" t="s">
        <v>430</v>
      </c>
      <c r="B131" s="271" t="s">
        <v>431</v>
      </c>
      <c r="C131" s="271" t="s">
        <v>156</v>
      </c>
      <c r="D131" s="271" t="s">
        <v>162</v>
      </c>
      <c r="E131" s="271" t="s">
        <v>100</v>
      </c>
      <c r="F131" s="272">
        <v>400</v>
      </c>
      <c r="G131" s="272">
        <v>-93600.6</v>
      </c>
      <c r="H131" s="271"/>
      <c r="I131" s="270" t="s">
        <v>432</v>
      </c>
      <c r="J131" s="270" t="s">
        <v>148</v>
      </c>
      <c r="K131" s="270" t="s">
        <v>433</v>
      </c>
      <c r="L131" s="270" t="s">
        <v>434</v>
      </c>
      <c r="M131" s="270" t="s">
        <v>435</v>
      </c>
      <c r="N131" s="270" t="s">
        <v>436</v>
      </c>
      <c r="O131" s="270" t="s">
        <v>61</v>
      </c>
      <c r="P131" s="270" t="s">
        <v>437</v>
      </c>
      <c r="Q131" s="270" t="s">
        <v>438</v>
      </c>
    </row>
    <row r="132" spans="1:17">
      <c r="A132" s="271" t="s">
        <v>439</v>
      </c>
      <c r="B132" s="271" t="s">
        <v>440</v>
      </c>
      <c r="C132" s="271" t="s">
        <v>156</v>
      </c>
      <c r="D132" s="271" t="s">
        <v>162</v>
      </c>
      <c r="E132" s="271" t="s">
        <v>100</v>
      </c>
      <c r="F132" s="272">
        <v>0</v>
      </c>
      <c r="G132" s="272">
        <v>-70287.25</v>
      </c>
      <c r="H132" s="271"/>
      <c r="I132" s="271" t="s">
        <v>427</v>
      </c>
      <c r="J132" s="271" t="s">
        <v>428</v>
      </c>
      <c r="K132" s="272">
        <v>0</v>
      </c>
      <c r="L132" s="272">
        <v>0</v>
      </c>
      <c r="M132" s="272">
        <v>0</v>
      </c>
      <c r="N132" s="272">
        <v>0</v>
      </c>
      <c r="O132" s="272">
        <v>0</v>
      </c>
      <c r="P132" s="272">
        <v>0</v>
      </c>
      <c r="Q132" s="272">
        <v>0</v>
      </c>
    </row>
    <row r="133" spans="1:17">
      <c r="A133" s="271" t="s">
        <v>441</v>
      </c>
      <c r="B133" s="271" t="s">
        <v>442</v>
      </c>
      <c r="C133" s="271" t="s">
        <v>156</v>
      </c>
      <c r="D133" s="271" t="s">
        <v>162</v>
      </c>
      <c r="E133" s="271" t="s">
        <v>100</v>
      </c>
      <c r="F133" s="272">
        <v>0</v>
      </c>
      <c r="G133" s="272">
        <v>0</v>
      </c>
      <c r="H133" s="271"/>
      <c r="I133" s="271" t="s">
        <v>430</v>
      </c>
      <c r="J133" s="271" t="s">
        <v>431</v>
      </c>
      <c r="K133" s="272">
        <v>400</v>
      </c>
      <c r="L133" s="272">
        <v>0</v>
      </c>
      <c r="M133" s="272">
        <v>0</v>
      </c>
      <c r="N133" s="272">
        <v>400</v>
      </c>
      <c r="O133" s="272">
        <v>0</v>
      </c>
      <c r="P133" s="272">
        <v>0</v>
      </c>
      <c r="Q133" s="272">
        <v>0</v>
      </c>
    </row>
    <row r="134" spans="1:17">
      <c r="A134" s="271" t="s">
        <v>443</v>
      </c>
      <c r="B134" s="271" t="s">
        <v>444</v>
      </c>
      <c r="C134" s="271" t="s">
        <v>156</v>
      </c>
      <c r="D134" s="271" t="s">
        <v>162</v>
      </c>
      <c r="E134" s="271" t="s">
        <v>100</v>
      </c>
      <c r="F134" s="272">
        <v>21854.76</v>
      </c>
      <c r="G134" s="272">
        <v>151750.60999999999</v>
      </c>
      <c r="H134" s="271"/>
      <c r="I134" s="271" t="s">
        <v>439</v>
      </c>
      <c r="J134" s="271" t="s">
        <v>440</v>
      </c>
      <c r="K134" s="272">
        <v>0</v>
      </c>
      <c r="L134" s="272">
        <v>0</v>
      </c>
      <c r="M134" s="272">
        <v>0</v>
      </c>
      <c r="N134" s="272">
        <v>0</v>
      </c>
      <c r="O134" s="272">
        <v>0</v>
      </c>
      <c r="P134" s="272">
        <v>0</v>
      </c>
      <c r="Q134" s="272">
        <v>0</v>
      </c>
    </row>
    <row r="135" spans="1:17">
      <c r="A135" s="271" t="s">
        <v>445</v>
      </c>
      <c r="B135" s="271" t="s">
        <v>446</v>
      </c>
      <c r="C135" s="271" t="s">
        <v>156</v>
      </c>
      <c r="D135" s="271" t="s">
        <v>162</v>
      </c>
      <c r="E135" s="271" t="s">
        <v>100</v>
      </c>
      <c r="F135" s="272">
        <v>0</v>
      </c>
      <c r="G135" s="272">
        <v>0</v>
      </c>
      <c r="H135" s="271"/>
      <c r="I135" s="271" t="s">
        <v>441</v>
      </c>
      <c r="J135" s="271" t="s">
        <v>442</v>
      </c>
      <c r="K135" s="272">
        <v>0</v>
      </c>
      <c r="L135" s="272">
        <v>0</v>
      </c>
      <c r="M135" s="272">
        <v>0</v>
      </c>
      <c r="N135" s="272">
        <v>0</v>
      </c>
      <c r="O135" s="272">
        <v>0</v>
      </c>
      <c r="P135" s="272">
        <v>0</v>
      </c>
      <c r="Q135" s="272">
        <v>0</v>
      </c>
    </row>
    <row r="136" spans="1:17">
      <c r="A136" s="271" t="s">
        <v>447</v>
      </c>
      <c r="B136" s="271" t="s">
        <v>448</v>
      </c>
      <c r="C136" s="271" t="s">
        <v>156</v>
      </c>
      <c r="D136" s="271" t="s">
        <v>162</v>
      </c>
      <c r="E136" s="271" t="s">
        <v>100</v>
      </c>
      <c r="F136" s="272">
        <v>170063.24</v>
      </c>
      <c r="G136" s="272">
        <v>782375.53</v>
      </c>
      <c r="H136" s="271"/>
      <c r="I136" s="271" t="s">
        <v>443</v>
      </c>
      <c r="J136" s="271" t="s">
        <v>444</v>
      </c>
      <c r="K136" s="272">
        <v>21854.76</v>
      </c>
      <c r="L136" s="272">
        <v>0</v>
      </c>
      <c r="M136" s="272">
        <v>2000</v>
      </c>
      <c r="N136" s="272">
        <v>0</v>
      </c>
      <c r="O136" s="272">
        <v>19854.759999999998</v>
      </c>
      <c r="P136" s="272">
        <v>0</v>
      </c>
      <c r="Q136" s="272">
        <v>0</v>
      </c>
    </row>
    <row r="137" spans="1:17">
      <c r="A137" s="271" t="s">
        <v>449</v>
      </c>
      <c r="B137" s="271" t="s">
        <v>450</v>
      </c>
      <c r="C137" s="271" t="s">
        <v>156</v>
      </c>
      <c r="D137" s="271" t="s">
        <v>162</v>
      </c>
      <c r="E137" s="271" t="s">
        <v>100</v>
      </c>
      <c r="F137" s="272">
        <v>33774.58</v>
      </c>
      <c r="G137" s="272">
        <v>205280.52</v>
      </c>
      <c r="H137" s="271"/>
      <c r="I137" s="271" t="s">
        <v>445</v>
      </c>
      <c r="J137" s="271" t="s">
        <v>446</v>
      </c>
      <c r="K137" s="272">
        <v>0</v>
      </c>
      <c r="L137" s="272">
        <v>0</v>
      </c>
      <c r="M137" s="272">
        <v>0</v>
      </c>
      <c r="N137" s="272">
        <v>0</v>
      </c>
      <c r="O137" s="272">
        <v>0</v>
      </c>
      <c r="P137" s="272">
        <v>0</v>
      </c>
      <c r="Q137" s="272">
        <v>0</v>
      </c>
    </row>
    <row r="138" spans="1:17">
      <c r="A138" s="271" t="s">
        <v>451</v>
      </c>
      <c r="B138" s="271" t="s">
        <v>452</v>
      </c>
      <c r="C138" s="271" t="s">
        <v>156</v>
      </c>
      <c r="D138" s="271" t="s">
        <v>162</v>
      </c>
      <c r="E138" s="271" t="s">
        <v>100</v>
      </c>
      <c r="F138" s="272">
        <v>94222.98</v>
      </c>
      <c r="G138" s="272">
        <v>455365.29</v>
      </c>
      <c r="H138" s="271"/>
      <c r="I138" s="271" t="s">
        <v>447</v>
      </c>
      <c r="J138" s="271" t="s">
        <v>448</v>
      </c>
      <c r="K138" s="272">
        <v>170063.24</v>
      </c>
      <c r="L138" s="272">
        <v>26028.13</v>
      </c>
      <c r="M138" s="272">
        <v>22723.75</v>
      </c>
      <c r="N138" s="272">
        <v>297.81</v>
      </c>
      <c r="O138" s="272">
        <v>34516.04</v>
      </c>
      <c r="P138" s="272">
        <v>33997.51</v>
      </c>
      <c r="Q138" s="272">
        <v>52500</v>
      </c>
    </row>
    <row r="139" spans="1:17">
      <c r="A139" s="271" t="s">
        <v>453</v>
      </c>
      <c r="B139" s="271" t="s">
        <v>454</v>
      </c>
      <c r="C139" s="271" t="s">
        <v>156</v>
      </c>
      <c r="D139" s="271" t="s">
        <v>162</v>
      </c>
      <c r="E139" s="271" t="s">
        <v>100</v>
      </c>
      <c r="F139" s="272">
        <v>0</v>
      </c>
      <c r="G139" s="272">
        <v>0</v>
      </c>
      <c r="H139" s="271"/>
      <c r="I139" s="271" t="s">
        <v>449</v>
      </c>
      <c r="J139" s="271" t="s">
        <v>450</v>
      </c>
      <c r="K139" s="272">
        <v>33774.58</v>
      </c>
      <c r="L139" s="272">
        <v>0</v>
      </c>
      <c r="M139" s="272">
        <v>0</v>
      </c>
      <c r="N139" s="272">
        <v>26672.71</v>
      </c>
      <c r="O139" s="272">
        <v>0</v>
      </c>
      <c r="P139" s="272">
        <v>0</v>
      </c>
      <c r="Q139" s="272">
        <v>7101.87</v>
      </c>
    </row>
    <row r="140" spans="1:17">
      <c r="A140" s="271" t="s">
        <v>455</v>
      </c>
      <c r="B140" s="271" t="s">
        <v>456</v>
      </c>
      <c r="C140" s="271" t="s">
        <v>156</v>
      </c>
      <c r="D140" s="271" t="s">
        <v>162</v>
      </c>
      <c r="E140" s="271" t="s">
        <v>100</v>
      </c>
      <c r="F140" s="272">
        <v>0</v>
      </c>
      <c r="G140" s="272">
        <v>3348.58</v>
      </c>
      <c r="H140" s="271"/>
      <c r="I140" s="271" t="s">
        <v>451</v>
      </c>
      <c r="J140" s="271" t="s">
        <v>452</v>
      </c>
      <c r="K140" s="272">
        <v>94222.98</v>
      </c>
      <c r="L140" s="272">
        <v>19744.759999999998</v>
      </c>
      <c r="M140" s="272">
        <v>13000</v>
      </c>
      <c r="N140" s="272">
        <v>0</v>
      </c>
      <c r="O140" s="272">
        <v>48478.22</v>
      </c>
      <c r="P140" s="272">
        <v>13000</v>
      </c>
      <c r="Q140" s="272">
        <v>0</v>
      </c>
    </row>
    <row r="141" spans="1:17">
      <c r="A141" s="271" t="s">
        <v>457</v>
      </c>
      <c r="B141" s="271" t="s">
        <v>458</v>
      </c>
      <c r="C141" s="271" t="s">
        <v>156</v>
      </c>
      <c r="D141" s="271" t="s">
        <v>162</v>
      </c>
      <c r="E141" s="271" t="s">
        <v>100</v>
      </c>
      <c r="F141" s="272">
        <v>8191.04</v>
      </c>
      <c r="G141" s="272">
        <v>50154.96</v>
      </c>
      <c r="H141" s="271"/>
      <c r="I141" s="271" t="s">
        <v>453</v>
      </c>
      <c r="J141" s="271" t="s">
        <v>454</v>
      </c>
      <c r="K141" s="272">
        <v>0</v>
      </c>
      <c r="L141" s="272">
        <v>0</v>
      </c>
      <c r="M141" s="272">
        <v>0</v>
      </c>
      <c r="N141" s="272">
        <v>0</v>
      </c>
      <c r="O141" s="272">
        <v>0</v>
      </c>
      <c r="P141" s="272">
        <v>0</v>
      </c>
      <c r="Q141" s="272">
        <v>0</v>
      </c>
    </row>
    <row r="142" spans="1:17">
      <c r="A142" s="271" t="s">
        <v>459</v>
      </c>
      <c r="B142" s="271" t="s">
        <v>460</v>
      </c>
      <c r="C142" s="271" t="s">
        <v>156</v>
      </c>
      <c r="D142" s="271" t="s">
        <v>162</v>
      </c>
      <c r="E142" s="271" t="s">
        <v>100</v>
      </c>
      <c r="F142" s="272">
        <v>5969.6</v>
      </c>
      <c r="G142" s="272">
        <v>28696.5</v>
      </c>
      <c r="H142" s="271"/>
      <c r="I142" s="271" t="s">
        <v>455</v>
      </c>
      <c r="J142" s="271" t="s">
        <v>456</v>
      </c>
      <c r="K142" s="272">
        <v>0</v>
      </c>
      <c r="L142" s="272">
        <v>0</v>
      </c>
      <c r="M142" s="272">
        <v>0</v>
      </c>
      <c r="N142" s="272">
        <v>0</v>
      </c>
      <c r="O142" s="272">
        <v>0</v>
      </c>
      <c r="P142" s="272">
        <v>0</v>
      </c>
      <c r="Q142" s="272">
        <v>0</v>
      </c>
    </row>
    <row r="143" spans="1:17">
      <c r="A143" s="271" t="s">
        <v>461</v>
      </c>
      <c r="B143" s="271" t="s">
        <v>462</v>
      </c>
      <c r="C143" s="271" t="s">
        <v>156</v>
      </c>
      <c r="D143" s="271" t="s">
        <v>169</v>
      </c>
      <c r="E143" s="271" t="s">
        <v>463</v>
      </c>
      <c r="F143" s="272">
        <v>334476.2</v>
      </c>
      <c r="G143" s="272">
        <v>1513084.14</v>
      </c>
      <c r="H143" s="271"/>
      <c r="I143" s="271" t="s">
        <v>457</v>
      </c>
      <c r="J143" s="271" t="s">
        <v>458</v>
      </c>
      <c r="K143" s="272">
        <v>8191.04</v>
      </c>
      <c r="L143" s="272">
        <v>890.68</v>
      </c>
      <c r="M143" s="272">
        <v>0</v>
      </c>
      <c r="N143" s="272">
        <v>3573.75</v>
      </c>
      <c r="O143" s="272">
        <v>3320.42</v>
      </c>
      <c r="P143" s="272">
        <v>0</v>
      </c>
      <c r="Q143" s="272">
        <v>406.19</v>
      </c>
    </row>
    <row r="144" spans="1:17">
      <c r="A144" s="271" t="s">
        <v>464</v>
      </c>
      <c r="B144" s="271" t="s">
        <v>465</v>
      </c>
      <c r="C144" s="271" t="s">
        <v>156</v>
      </c>
      <c r="D144" s="271" t="s">
        <v>157</v>
      </c>
      <c r="E144" s="271" t="s">
        <v>100</v>
      </c>
      <c r="F144" s="272">
        <v>0</v>
      </c>
      <c r="G144" s="272">
        <v>0</v>
      </c>
      <c r="H144" s="271"/>
      <c r="I144" s="271" t="s">
        <v>459</v>
      </c>
      <c r="J144" s="271" t="s">
        <v>460</v>
      </c>
      <c r="K144" s="272">
        <v>5969.6</v>
      </c>
      <c r="L144" s="272">
        <v>0</v>
      </c>
      <c r="M144" s="272">
        <v>0</v>
      </c>
      <c r="N144" s="272">
        <v>0</v>
      </c>
      <c r="O144" s="272">
        <v>5969.6</v>
      </c>
      <c r="P144" s="272">
        <v>0</v>
      </c>
      <c r="Q144" s="272">
        <v>0</v>
      </c>
    </row>
    <row r="145" spans="1:17">
      <c r="A145" s="271" t="s">
        <v>466</v>
      </c>
      <c r="B145" s="271" t="s">
        <v>467</v>
      </c>
      <c r="C145" s="271" t="s">
        <v>156</v>
      </c>
      <c r="D145" s="271" t="s">
        <v>157</v>
      </c>
      <c r="E145" s="271" t="s">
        <v>100</v>
      </c>
      <c r="F145" s="272">
        <v>0</v>
      </c>
      <c r="G145" s="272">
        <v>0</v>
      </c>
      <c r="H145" s="271"/>
      <c r="I145" s="271" t="s">
        <v>461</v>
      </c>
      <c r="J145" s="271" t="s">
        <v>462</v>
      </c>
      <c r="K145" s="272">
        <v>334476.2</v>
      </c>
      <c r="L145" s="272">
        <v>46663.57</v>
      </c>
      <c r="M145" s="272">
        <v>37723.75</v>
      </c>
      <c r="N145" s="272">
        <v>30944.27</v>
      </c>
      <c r="O145" s="272">
        <v>112139.04</v>
      </c>
      <c r="P145" s="272">
        <v>46997.51</v>
      </c>
      <c r="Q145" s="272">
        <v>60008.06</v>
      </c>
    </row>
    <row r="146" spans="1:17">
      <c r="A146" s="271" t="s">
        <v>468</v>
      </c>
      <c r="B146" s="271" t="s">
        <v>469</v>
      </c>
      <c r="C146" s="271" t="s">
        <v>156</v>
      </c>
      <c r="D146" s="271" t="s">
        <v>157</v>
      </c>
      <c r="E146" s="271" t="s">
        <v>100</v>
      </c>
      <c r="F146" s="272">
        <v>0</v>
      </c>
      <c r="G146" s="272">
        <v>0</v>
      </c>
      <c r="H146" s="271"/>
    </row>
    <row r="147" spans="1:17">
      <c r="A147" s="271" t="s">
        <v>470</v>
      </c>
      <c r="B147" s="271" t="s">
        <v>155</v>
      </c>
      <c r="C147" s="271" t="s">
        <v>156</v>
      </c>
      <c r="D147" s="271" t="s">
        <v>157</v>
      </c>
      <c r="E147" s="271" t="s">
        <v>100</v>
      </c>
      <c r="F147" s="272">
        <v>0</v>
      </c>
      <c r="G147" s="272">
        <v>0</v>
      </c>
      <c r="H147" s="271"/>
    </row>
    <row r="148" spans="1:17" ht="16">
      <c r="A148" s="271" t="s">
        <v>471</v>
      </c>
      <c r="B148" s="271" t="s">
        <v>472</v>
      </c>
      <c r="C148" s="271" t="s">
        <v>156</v>
      </c>
      <c r="D148" s="271" t="s">
        <v>162</v>
      </c>
      <c r="E148" s="271" t="s">
        <v>100</v>
      </c>
      <c r="F148" s="272">
        <v>-480933.78</v>
      </c>
      <c r="G148" s="272">
        <v>-4345372.95</v>
      </c>
      <c r="H148" s="271"/>
      <c r="I148" s="269" t="s">
        <v>429</v>
      </c>
      <c r="J148" s="268"/>
      <c r="K148" s="268"/>
      <c r="L148" s="268"/>
      <c r="M148" s="268"/>
      <c r="N148" s="268"/>
    </row>
    <row r="149" spans="1:17">
      <c r="A149" s="271" t="s">
        <v>473</v>
      </c>
      <c r="B149" s="271" t="s">
        <v>474</v>
      </c>
      <c r="C149" s="271" t="s">
        <v>156</v>
      </c>
      <c r="D149" s="271" t="s">
        <v>162</v>
      </c>
      <c r="E149" s="271" t="s">
        <v>100</v>
      </c>
      <c r="F149" s="272">
        <v>-223622</v>
      </c>
      <c r="G149" s="272">
        <v>-1767866.5</v>
      </c>
      <c r="H149" s="271"/>
      <c r="I149" s="270" t="s">
        <v>432</v>
      </c>
      <c r="J149" s="270" t="s">
        <v>148</v>
      </c>
      <c r="K149" s="270" t="s">
        <v>433</v>
      </c>
      <c r="L149" s="270" t="s">
        <v>475</v>
      </c>
      <c r="M149" s="270" t="s">
        <v>476</v>
      </c>
      <c r="N149" s="270" t="s">
        <v>477</v>
      </c>
    </row>
    <row r="150" spans="1:17">
      <c r="A150" s="271" t="s">
        <v>478</v>
      </c>
      <c r="B150" s="271" t="s">
        <v>479</v>
      </c>
      <c r="C150" s="271" t="s">
        <v>156</v>
      </c>
      <c r="D150" s="271" t="s">
        <v>162</v>
      </c>
      <c r="E150" s="271" t="s">
        <v>100</v>
      </c>
      <c r="F150" s="272">
        <v>11982.67</v>
      </c>
      <c r="G150" s="272">
        <v>179897.60000000001</v>
      </c>
      <c r="H150" s="271"/>
      <c r="I150" s="271" t="s">
        <v>468</v>
      </c>
      <c r="J150" s="271" t="s">
        <v>469</v>
      </c>
      <c r="K150" s="272">
        <v>0</v>
      </c>
      <c r="L150" s="272">
        <v>0</v>
      </c>
      <c r="M150" s="272">
        <v>0</v>
      </c>
      <c r="N150" s="272">
        <v>0</v>
      </c>
    </row>
    <row r="151" spans="1:17">
      <c r="A151" s="271" t="s">
        <v>480</v>
      </c>
      <c r="B151" s="271" t="s">
        <v>481</v>
      </c>
      <c r="C151" s="271" t="s">
        <v>156</v>
      </c>
      <c r="D151" s="271" t="s">
        <v>162</v>
      </c>
      <c r="E151" s="271" t="s">
        <v>100</v>
      </c>
      <c r="F151" s="272">
        <v>-64845.84</v>
      </c>
      <c r="G151" s="272">
        <v>-984864.79</v>
      </c>
      <c r="H151" s="271"/>
      <c r="I151" s="271" t="s">
        <v>470</v>
      </c>
      <c r="J151" s="271" t="s">
        <v>155</v>
      </c>
      <c r="K151" s="272">
        <v>0</v>
      </c>
      <c r="L151" s="272">
        <v>0</v>
      </c>
      <c r="M151" s="272">
        <v>0</v>
      </c>
      <c r="N151" s="272">
        <v>0</v>
      </c>
    </row>
    <row r="152" spans="1:17">
      <c r="A152" s="271" t="s">
        <v>482</v>
      </c>
      <c r="B152" s="271" t="s">
        <v>278</v>
      </c>
      <c r="C152" s="271" t="s">
        <v>156</v>
      </c>
      <c r="D152" s="271" t="s">
        <v>169</v>
      </c>
      <c r="E152" s="271" t="s">
        <v>483</v>
      </c>
      <c r="F152" s="272">
        <v>-757418.95</v>
      </c>
      <c r="G152" s="272">
        <v>-6918206.6399999997</v>
      </c>
      <c r="H152" s="271"/>
      <c r="I152" s="271" t="s">
        <v>471</v>
      </c>
      <c r="J152" s="271" t="s">
        <v>472</v>
      </c>
      <c r="K152" s="272">
        <v>-480933.78</v>
      </c>
      <c r="L152" s="272">
        <v>-190398.78</v>
      </c>
      <c r="M152" s="272">
        <v>-290535</v>
      </c>
      <c r="N152" s="272">
        <v>0</v>
      </c>
    </row>
    <row r="153" spans="1:17">
      <c r="A153" s="271" t="s">
        <v>484</v>
      </c>
      <c r="B153" s="271" t="s">
        <v>485</v>
      </c>
      <c r="C153" s="271" t="s">
        <v>156</v>
      </c>
      <c r="D153" s="271" t="s">
        <v>157</v>
      </c>
      <c r="E153" s="271" t="s">
        <v>100</v>
      </c>
      <c r="F153" s="272">
        <v>0</v>
      </c>
      <c r="G153" s="272">
        <v>0</v>
      </c>
      <c r="H153" s="271"/>
      <c r="I153" s="271" t="s">
        <v>473</v>
      </c>
      <c r="J153" s="271" t="s">
        <v>474</v>
      </c>
      <c r="K153" s="272">
        <v>-223622</v>
      </c>
      <c r="L153" s="272">
        <v>-48510</v>
      </c>
      <c r="M153" s="272">
        <v>-175112</v>
      </c>
      <c r="N153" s="272">
        <v>0</v>
      </c>
    </row>
    <row r="154" spans="1:17">
      <c r="A154" s="271" t="s">
        <v>486</v>
      </c>
      <c r="B154" s="271" t="s">
        <v>487</v>
      </c>
      <c r="C154" s="271" t="s">
        <v>156</v>
      </c>
      <c r="D154" s="271" t="s">
        <v>162</v>
      </c>
      <c r="E154" s="271" t="s">
        <v>100</v>
      </c>
      <c r="F154" s="272">
        <v>27506.69</v>
      </c>
      <c r="G154" s="272">
        <v>255216.42</v>
      </c>
      <c r="H154" s="271"/>
      <c r="I154" s="271" t="s">
        <v>478</v>
      </c>
      <c r="J154" s="271" t="s">
        <v>479</v>
      </c>
      <c r="K154" s="272">
        <v>11982.67</v>
      </c>
      <c r="L154" s="272">
        <v>5979.98</v>
      </c>
      <c r="M154" s="272">
        <v>6002.69</v>
      </c>
      <c r="N154" s="272">
        <v>0</v>
      </c>
    </row>
    <row r="155" spans="1:17">
      <c r="A155" s="271" t="s">
        <v>488</v>
      </c>
      <c r="B155" s="271" t="s">
        <v>489</v>
      </c>
      <c r="C155" s="271" t="s">
        <v>156</v>
      </c>
      <c r="D155" s="271" t="s">
        <v>162</v>
      </c>
      <c r="E155" s="271" t="s">
        <v>100</v>
      </c>
      <c r="F155" s="272">
        <v>130877.9</v>
      </c>
      <c r="G155" s="272">
        <v>382552.78</v>
      </c>
      <c r="H155" s="271"/>
      <c r="I155" s="271" t="s">
        <v>480</v>
      </c>
      <c r="J155" s="271" t="s">
        <v>481</v>
      </c>
      <c r="K155" s="272">
        <v>-64845.84</v>
      </c>
      <c r="L155" s="272">
        <v>-12573</v>
      </c>
      <c r="M155" s="272">
        <v>-86060</v>
      </c>
      <c r="N155" s="272">
        <v>33787.160000000003</v>
      </c>
    </row>
    <row r="156" spans="1:17">
      <c r="A156" s="271" t="s">
        <v>490</v>
      </c>
      <c r="B156" s="271" t="s">
        <v>491</v>
      </c>
      <c r="C156" s="271" t="s">
        <v>156</v>
      </c>
      <c r="D156" s="271" t="s">
        <v>162</v>
      </c>
      <c r="E156" s="271" t="s">
        <v>100</v>
      </c>
      <c r="F156" s="272">
        <v>0</v>
      </c>
      <c r="G156" s="272">
        <v>31400.32</v>
      </c>
      <c r="H156" s="271"/>
      <c r="I156" s="271" t="s">
        <v>482</v>
      </c>
      <c r="J156" s="271" t="s">
        <v>278</v>
      </c>
      <c r="K156" s="272">
        <v>-757418.95</v>
      </c>
      <c r="L156" s="272">
        <v>-245501.8</v>
      </c>
      <c r="M156" s="272">
        <v>-545704.31000000006</v>
      </c>
      <c r="N156" s="272">
        <v>33787.160000000003</v>
      </c>
    </row>
    <row r="157" spans="1:17">
      <c r="A157" s="271" t="s">
        <v>492</v>
      </c>
      <c r="B157" s="271" t="s">
        <v>493</v>
      </c>
      <c r="C157" s="271" t="s">
        <v>156</v>
      </c>
      <c r="D157" s="271" t="s">
        <v>162</v>
      </c>
      <c r="E157" s="271" t="s">
        <v>100</v>
      </c>
      <c r="F157" s="272">
        <v>15545.16</v>
      </c>
      <c r="G157" s="272">
        <v>40186.6</v>
      </c>
      <c r="H157" s="271"/>
      <c r="I157" s="271" t="s">
        <v>484</v>
      </c>
      <c r="J157" s="271" t="s">
        <v>485</v>
      </c>
      <c r="K157" s="272">
        <v>0</v>
      </c>
      <c r="L157" s="272">
        <v>0</v>
      </c>
      <c r="M157" s="272">
        <v>0</v>
      </c>
      <c r="N157" s="272">
        <v>0</v>
      </c>
    </row>
    <row r="158" spans="1:17">
      <c r="A158" s="271" t="s">
        <v>494</v>
      </c>
      <c r="B158" s="271" t="s">
        <v>495</v>
      </c>
      <c r="C158" s="271" t="s">
        <v>156</v>
      </c>
      <c r="D158" s="271" t="s">
        <v>162</v>
      </c>
      <c r="E158" s="271" t="s">
        <v>100</v>
      </c>
      <c r="F158" s="272">
        <v>68640.37</v>
      </c>
      <c r="G158" s="272">
        <v>298934.36</v>
      </c>
      <c r="H158" s="271"/>
      <c r="I158" s="271" t="s">
        <v>486</v>
      </c>
      <c r="J158" s="271" t="s">
        <v>487</v>
      </c>
      <c r="K158" s="272">
        <v>27506.69</v>
      </c>
      <c r="L158" s="272">
        <v>11552.8</v>
      </c>
      <c r="M158" s="272">
        <v>15953.89</v>
      </c>
      <c r="N158" s="272">
        <v>0</v>
      </c>
    </row>
    <row r="159" spans="1:17">
      <c r="A159" s="271" t="s">
        <v>496</v>
      </c>
      <c r="B159" s="271" t="s">
        <v>497</v>
      </c>
      <c r="C159" s="271" t="s">
        <v>156</v>
      </c>
      <c r="D159" s="271" t="s">
        <v>162</v>
      </c>
      <c r="E159" s="271" t="s">
        <v>100</v>
      </c>
      <c r="F159" s="272">
        <v>284857.13</v>
      </c>
      <c r="G159" s="272">
        <v>1341343.43</v>
      </c>
      <c r="H159" s="271"/>
      <c r="I159" s="271" t="s">
        <v>488</v>
      </c>
      <c r="J159" s="271" t="s">
        <v>489</v>
      </c>
      <c r="K159" s="272">
        <v>130877.9</v>
      </c>
      <c r="L159" s="272">
        <v>118050.03</v>
      </c>
      <c r="M159" s="272">
        <v>12827.87</v>
      </c>
      <c r="N159" s="272">
        <v>0</v>
      </c>
    </row>
    <row r="160" spans="1:17">
      <c r="A160" s="271" t="s">
        <v>498</v>
      </c>
      <c r="B160" s="271" t="s">
        <v>499</v>
      </c>
      <c r="C160" s="271" t="s">
        <v>156</v>
      </c>
      <c r="D160" s="271" t="s">
        <v>162</v>
      </c>
      <c r="E160" s="271" t="s">
        <v>100</v>
      </c>
      <c r="F160" s="272">
        <v>-13488.47</v>
      </c>
      <c r="G160" s="272">
        <v>-28596.36</v>
      </c>
      <c r="H160" s="271"/>
      <c r="I160" s="271" t="s">
        <v>490</v>
      </c>
      <c r="J160" s="271" t="s">
        <v>491</v>
      </c>
      <c r="K160" s="272">
        <v>0</v>
      </c>
      <c r="L160" s="272">
        <v>0</v>
      </c>
      <c r="M160" s="272">
        <v>0</v>
      </c>
      <c r="N160" s="272">
        <v>0</v>
      </c>
    </row>
    <row r="161" spans="1:14">
      <c r="A161" s="271" t="s">
        <v>500</v>
      </c>
      <c r="B161" s="271" t="s">
        <v>501</v>
      </c>
      <c r="C161" s="271" t="s">
        <v>156</v>
      </c>
      <c r="D161" s="271" t="s">
        <v>162</v>
      </c>
      <c r="E161" s="271" t="s">
        <v>100</v>
      </c>
      <c r="F161" s="272">
        <v>5901.28</v>
      </c>
      <c r="G161" s="272">
        <v>44493.91</v>
      </c>
      <c r="H161" s="271"/>
      <c r="I161" s="271" t="s">
        <v>492</v>
      </c>
      <c r="J161" s="271" t="s">
        <v>493</v>
      </c>
      <c r="K161" s="272">
        <v>15545.16</v>
      </c>
      <c r="L161" s="272">
        <v>15545.16</v>
      </c>
      <c r="M161" s="272">
        <v>0</v>
      </c>
      <c r="N161" s="272">
        <v>0</v>
      </c>
    </row>
    <row r="162" spans="1:14">
      <c r="A162" s="271" t="s">
        <v>502</v>
      </c>
      <c r="B162" s="271" t="s">
        <v>503</v>
      </c>
      <c r="C162" s="271" t="s">
        <v>156</v>
      </c>
      <c r="D162" s="271" t="s">
        <v>169</v>
      </c>
      <c r="E162" s="271" t="s">
        <v>504</v>
      </c>
      <c r="F162" s="272">
        <v>519840.06</v>
      </c>
      <c r="G162" s="272">
        <v>2365531.46</v>
      </c>
      <c r="H162" s="271"/>
      <c r="I162" s="271" t="s">
        <v>494</v>
      </c>
      <c r="J162" s="271" t="s">
        <v>495</v>
      </c>
      <c r="K162" s="272">
        <v>68640.37</v>
      </c>
      <c r="L162" s="272">
        <v>18810.63</v>
      </c>
      <c r="M162" s="272">
        <v>49829.74</v>
      </c>
      <c r="N162" s="272">
        <v>0</v>
      </c>
    </row>
    <row r="163" spans="1:14">
      <c r="A163" s="271" t="s">
        <v>505</v>
      </c>
      <c r="B163" s="271" t="s">
        <v>284</v>
      </c>
      <c r="C163" s="271" t="s">
        <v>156</v>
      </c>
      <c r="D163" s="271" t="s">
        <v>157</v>
      </c>
      <c r="E163" s="271" t="s">
        <v>100</v>
      </c>
      <c r="F163" s="272">
        <v>0</v>
      </c>
      <c r="G163" s="272">
        <v>0</v>
      </c>
      <c r="H163" s="271"/>
      <c r="I163" s="271" t="s">
        <v>496</v>
      </c>
      <c r="J163" s="271" t="s">
        <v>497</v>
      </c>
      <c r="K163" s="272">
        <v>284857.13</v>
      </c>
      <c r="L163" s="272">
        <v>117151.83</v>
      </c>
      <c r="M163" s="272">
        <v>167705.29999999999</v>
      </c>
      <c r="N163" s="272">
        <v>0</v>
      </c>
    </row>
    <row r="164" spans="1:14">
      <c r="A164" s="271" t="s">
        <v>506</v>
      </c>
      <c r="B164" s="271" t="s">
        <v>507</v>
      </c>
      <c r="C164" s="271" t="s">
        <v>156</v>
      </c>
      <c r="D164" s="271" t="s">
        <v>162</v>
      </c>
      <c r="E164" s="271" t="s">
        <v>100</v>
      </c>
      <c r="F164" s="272">
        <v>652423.31000000006</v>
      </c>
      <c r="G164" s="272">
        <v>3506944.02</v>
      </c>
      <c r="H164" s="271"/>
      <c r="I164" s="271" t="s">
        <v>498</v>
      </c>
      <c r="J164" s="271" t="s">
        <v>499</v>
      </c>
      <c r="K164" s="272">
        <v>-13472.21</v>
      </c>
      <c r="L164" s="272">
        <v>0</v>
      </c>
      <c r="M164" s="272">
        <v>-12600.8</v>
      </c>
      <c r="N164" s="272">
        <v>-871.41</v>
      </c>
    </row>
    <row r="165" spans="1:14">
      <c r="A165" s="271" t="s">
        <v>508</v>
      </c>
      <c r="B165" s="271" t="s">
        <v>300</v>
      </c>
      <c r="C165" s="271" t="s">
        <v>156</v>
      </c>
      <c r="D165" s="271" t="s">
        <v>162</v>
      </c>
      <c r="E165" s="271" t="s">
        <v>100</v>
      </c>
      <c r="F165" s="272">
        <v>8438.0400000000009</v>
      </c>
      <c r="G165" s="272">
        <v>46007.48</v>
      </c>
      <c r="H165" s="271"/>
      <c r="I165" s="271" t="s">
        <v>500</v>
      </c>
      <c r="J165" s="271" t="s">
        <v>501</v>
      </c>
      <c r="K165" s="272">
        <v>5901.28</v>
      </c>
      <c r="L165" s="272">
        <v>0</v>
      </c>
      <c r="M165" s="272">
        <v>5901.28</v>
      </c>
      <c r="N165" s="272">
        <v>0</v>
      </c>
    </row>
    <row r="166" spans="1:14">
      <c r="A166" s="271" t="s">
        <v>509</v>
      </c>
      <c r="B166" s="271" t="s">
        <v>294</v>
      </c>
      <c r="C166" s="271" t="s">
        <v>156</v>
      </c>
      <c r="D166" s="271" t="s">
        <v>162</v>
      </c>
      <c r="E166" s="271" t="s">
        <v>100</v>
      </c>
      <c r="F166" s="272">
        <v>-2270.4</v>
      </c>
      <c r="G166" s="272">
        <v>-15112.11</v>
      </c>
      <c r="H166" s="271"/>
      <c r="I166" s="271" t="s">
        <v>502</v>
      </c>
      <c r="J166" s="271" t="s">
        <v>503</v>
      </c>
      <c r="K166" s="272">
        <v>519856.32</v>
      </c>
      <c r="L166" s="272">
        <v>281110.45</v>
      </c>
      <c r="M166" s="272">
        <v>239617.28</v>
      </c>
      <c r="N166" s="272">
        <v>-871.41</v>
      </c>
    </row>
    <row r="167" spans="1:14">
      <c r="A167" s="271" t="s">
        <v>510</v>
      </c>
      <c r="B167" s="271" t="s">
        <v>511</v>
      </c>
      <c r="C167" s="271" t="s">
        <v>156</v>
      </c>
      <c r="D167" s="271" t="s">
        <v>162</v>
      </c>
      <c r="E167" s="271" t="s">
        <v>100</v>
      </c>
      <c r="F167" s="272">
        <v>33963.199999999997</v>
      </c>
      <c r="G167" s="272">
        <v>179902.21</v>
      </c>
      <c r="H167" s="271"/>
      <c r="I167" s="271" t="s">
        <v>505</v>
      </c>
      <c r="J167" s="271" t="s">
        <v>284</v>
      </c>
      <c r="K167" s="272">
        <v>0</v>
      </c>
      <c r="L167" s="272">
        <v>0</v>
      </c>
      <c r="M167" s="272">
        <v>0</v>
      </c>
      <c r="N167" s="272">
        <v>0</v>
      </c>
    </row>
    <row r="168" spans="1:14">
      <c r="A168" s="271" t="s">
        <v>512</v>
      </c>
      <c r="B168" s="271" t="s">
        <v>513</v>
      </c>
      <c r="C168" s="271" t="s">
        <v>156</v>
      </c>
      <c r="D168" s="271" t="s">
        <v>162</v>
      </c>
      <c r="E168" s="271" t="s">
        <v>100</v>
      </c>
      <c r="F168" s="272">
        <v>69236.42</v>
      </c>
      <c r="G168" s="272">
        <v>369386.59</v>
      </c>
      <c r="H168" s="271"/>
      <c r="I168" s="271" t="s">
        <v>506</v>
      </c>
      <c r="J168" s="271" t="s">
        <v>507</v>
      </c>
      <c r="K168" s="272">
        <v>652423.31000000006</v>
      </c>
      <c r="L168" s="272">
        <v>134126.68</v>
      </c>
      <c r="M168" s="272">
        <v>518296.63</v>
      </c>
      <c r="N168" s="272">
        <v>0</v>
      </c>
    </row>
    <row r="169" spans="1:14">
      <c r="A169" s="271" t="s">
        <v>514</v>
      </c>
      <c r="B169" s="271" t="s">
        <v>515</v>
      </c>
      <c r="C169" s="271" t="s">
        <v>156</v>
      </c>
      <c r="D169" s="271" t="s">
        <v>162</v>
      </c>
      <c r="E169" s="271" t="s">
        <v>100</v>
      </c>
      <c r="F169" s="272">
        <v>-12577.16</v>
      </c>
      <c r="G169" s="272">
        <v>90190.5</v>
      </c>
      <c r="H169" s="271"/>
      <c r="I169" s="271" t="s">
        <v>508</v>
      </c>
      <c r="J169" s="271" t="s">
        <v>300</v>
      </c>
      <c r="K169" s="272">
        <v>8438.0400000000009</v>
      </c>
      <c r="L169" s="272">
        <v>0</v>
      </c>
      <c r="M169" s="272">
        <v>8438.0400000000009</v>
      </c>
      <c r="N169" s="272">
        <v>0</v>
      </c>
    </row>
    <row r="170" spans="1:14">
      <c r="A170" s="271" t="s">
        <v>516</v>
      </c>
      <c r="B170" s="271" t="s">
        <v>306</v>
      </c>
      <c r="C170" s="271" t="s">
        <v>156</v>
      </c>
      <c r="D170" s="271" t="s">
        <v>162</v>
      </c>
      <c r="E170" s="271" t="s">
        <v>100</v>
      </c>
      <c r="F170" s="272">
        <v>8898.9</v>
      </c>
      <c r="G170" s="272">
        <v>76541.570000000007</v>
      </c>
      <c r="H170" s="271"/>
      <c r="I170" s="271" t="s">
        <v>509</v>
      </c>
      <c r="J170" s="271" t="s">
        <v>294</v>
      </c>
      <c r="K170" s="272">
        <v>-2270.4</v>
      </c>
      <c r="L170" s="272">
        <v>0</v>
      </c>
      <c r="M170" s="272">
        <v>-2270.4</v>
      </c>
      <c r="N170" s="272">
        <v>0</v>
      </c>
    </row>
    <row r="171" spans="1:14">
      <c r="A171" s="271" t="s">
        <v>517</v>
      </c>
      <c r="B171" s="271" t="s">
        <v>317</v>
      </c>
      <c r="C171" s="271" t="s">
        <v>156</v>
      </c>
      <c r="D171" s="271" t="s">
        <v>162</v>
      </c>
      <c r="E171" s="271" t="s">
        <v>100</v>
      </c>
      <c r="F171" s="272">
        <v>13143.68</v>
      </c>
      <c r="G171" s="272">
        <v>75655.520000000004</v>
      </c>
      <c r="H171" s="271"/>
      <c r="I171" s="271" t="s">
        <v>510</v>
      </c>
      <c r="J171" s="271" t="s">
        <v>511</v>
      </c>
      <c r="K171" s="272">
        <v>33963.199999999997</v>
      </c>
      <c r="L171" s="272">
        <v>6164.63</v>
      </c>
      <c r="M171" s="272">
        <v>27798.57</v>
      </c>
      <c r="N171" s="272">
        <v>0</v>
      </c>
    </row>
    <row r="172" spans="1:14">
      <c r="A172" s="271" t="s">
        <v>518</v>
      </c>
      <c r="B172" s="271" t="s">
        <v>519</v>
      </c>
      <c r="C172" s="271" t="s">
        <v>156</v>
      </c>
      <c r="D172" s="271" t="s">
        <v>162</v>
      </c>
      <c r="E172" s="271" t="s">
        <v>100</v>
      </c>
      <c r="F172" s="272">
        <v>26279.02</v>
      </c>
      <c r="G172" s="272">
        <v>209290.83</v>
      </c>
      <c r="H172" s="271"/>
      <c r="I172" s="271" t="s">
        <v>512</v>
      </c>
      <c r="J172" s="271" t="s">
        <v>513</v>
      </c>
      <c r="K172" s="272">
        <v>69236.42</v>
      </c>
      <c r="L172" s="272">
        <v>15414.8</v>
      </c>
      <c r="M172" s="272">
        <v>53821.62</v>
      </c>
      <c r="N172" s="272">
        <v>0</v>
      </c>
    </row>
    <row r="173" spans="1:14">
      <c r="A173" s="271" t="s">
        <v>520</v>
      </c>
      <c r="B173" s="271" t="s">
        <v>521</v>
      </c>
      <c r="C173" s="271" t="s">
        <v>156</v>
      </c>
      <c r="D173" s="271" t="s">
        <v>162</v>
      </c>
      <c r="E173" s="271" t="s">
        <v>100</v>
      </c>
      <c r="F173" s="272">
        <v>0</v>
      </c>
      <c r="G173" s="272">
        <v>2790.73</v>
      </c>
      <c r="H173" s="271"/>
      <c r="I173" s="271" t="s">
        <v>514</v>
      </c>
      <c r="J173" s="271" t="s">
        <v>515</v>
      </c>
      <c r="K173" s="272">
        <v>-12577.16</v>
      </c>
      <c r="L173" s="272">
        <v>17607.419999999998</v>
      </c>
      <c r="M173" s="272">
        <v>-30184.58</v>
      </c>
      <c r="N173" s="272">
        <v>0</v>
      </c>
    </row>
    <row r="174" spans="1:14">
      <c r="A174" s="271" t="s">
        <v>522</v>
      </c>
      <c r="B174" s="271" t="s">
        <v>216</v>
      </c>
      <c r="C174" s="271" t="s">
        <v>156</v>
      </c>
      <c r="D174" s="271" t="s">
        <v>162</v>
      </c>
      <c r="E174" s="271" t="s">
        <v>100</v>
      </c>
      <c r="F174" s="272">
        <v>0</v>
      </c>
      <c r="G174" s="272">
        <v>0</v>
      </c>
      <c r="H174" s="271"/>
      <c r="I174" s="271" t="s">
        <v>516</v>
      </c>
      <c r="J174" s="271" t="s">
        <v>306</v>
      </c>
      <c r="K174" s="272">
        <v>8898.9</v>
      </c>
      <c r="L174" s="272">
        <v>4260.1499999999996</v>
      </c>
      <c r="M174" s="272">
        <v>4638.75</v>
      </c>
      <c r="N174" s="272">
        <v>0</v>
      </c>
    </row>
    <row r="175" spans="1:14">
      <c r="A175" s="271" t="s">
        <v>523</v>
      </c>
      <c r="B175" s="271" t="s">
        <v>524</v>
      </c>
      <c r="C175" s="271" t="s">
        <v>156</v>
      </c>
      <c r="D175" s="271" t="s">
        <v>162</v>
      </c>
      <c r="E175" s="271" t="s">
        <v>100</v>
      </c>
      <c r="F175" s="272">
        <v>-3625.05</v>
      </c>
      <c r="G175" s="272">
        <v>-18833.2</v>
      </c>
      <c r="H175" s="271"/>
      <c r="I175" s="271" t="s">
        <v>517</v>
      </c>
      <c r="J175" s="271" t="s">
        <v>317</v>
      </c>
      <c r="K175" s="272">
        <v>13143.68</v>
      </c>
      <c r="L175" s="272">
        <v>0</v>
      </c>
      <c r="M175" s="272">
        <v>13143.68</v>
      </c>
      <c r="N175" s="272">
        <v>0</v>
      </c>
    </row>
    <row r="176" spans="1:14">
      <c r="A176" s="271" t="s">
        <v>525</v>
      </c>
      <c r="B176" s="271" t="s">
        <v>526</v>
      </c>
      <c r="C176" s="271" t="s">
        <v>156</v>
      </c>
      <c r="D176" s="271" t="s">
        <v>162</v>
      </c>
      <c r="E176" s="271" t="s">
        <v>100</v>
      </c>
      <c r="F176" s="272">
        <v>-119261.75</v>
      </c>
      <c r="G176" s="272">
        <v>-595201.93999999994</v>
      </c>
      <c r="H176" s="271"/>
      <c r="I176" s="271" t="s">
        <v>518</v>
      </c>
      <c r="J176" s="271" t="s">
        <v>519</v>
      </c>
      <c r="K176" s="272">
        <v>26279.02</v>
      </c>
      <c r="L176" s="272">
        <v>2791.2</v>
      </c>
      <c r="M176" s="272">
        <v>23487.82</v>
      </c>
      <c r="N176" s="272">
        <v>0</v>
      </c>
    </row>
    <row r="177" spans="1:14">
      <c r="A177" s="271" t="s">
        <v>527</v>
      </c>
      <c r="B177" s="271" t="s">
        <v>341</v>
      </c>
      <c r="C177" s="271" t="s">
        <v>156</v>
      </c>
      <c r="D177" s="271" t="s">
        <v>169</v>
      </c>
      <c r="E177" s="271" t="s">
        <v>528</v>
      </c>
      <c r="F177" s="272">
        <v>674648.21</v>
      </c>
      <c r="G177" s="272">
        <v>3927562.2</v>
      </c>
      <c r="H177" s="271"/>
      <c r="I177" s="271" t="s">
        <v>520</v>
      </c>
      <c r="J177" s="271" t="s">
        <v>521</v>
      </c>
      <c r="K177" s="272">
        <v>0</v>
      </c>
      <c r="L177" s="272">
        <v>0</v>
      </c>
      <c r="M177" s="272">
        <v>0</v>
      </c>
      <c r="N177" s="272">
        <v>0</v>
      </c>
    </row>
    <row r="178" spans="1:14">
      <c r="A178" s="271" t="s">
        <v>529</v>
      </c>
      <c r="B178" s="271" t="s">
        <v>530</v>
      </c>
      <c r="C178" s="271" t="s">
        <v>156</v>
      </c>
      <c r="D178" s="271" t="s">
        <v>157</v>
      </c>
      <c r="E178" s="271" t="s">
        <v>100</v>
      </c>
      <c r="F178" s="272">
        <v>0</v>
      </c>
      <c r="G178" s="272">
        <v>0</v>
      </c>
      <c r="H178" s="271"/>
      <c r="I178" s="271" t="s">
        <v>522</v>
      </c>
      <c r="J178" s="271" t="s">
        <v>216</v>
      </c>
      <c r="K178" s="272">
        <v>0</v>
      </c>
      <c r="L178" s="272">
        <v>0</v>
      </c>
      <c r="M178" s="272">
        <v>0</v>
      </c>
      <c r="N178" s="272">
        <v>0</v>
      </c>
    </row>
    <row r="179" spans="1:14">
      <c r="A179" s="271" t="s">
        <v>531</v>
      </c>
      <c r="B179" s="271" t="s">
        <v>532</v>
      </c>
      <c r="C179" s="271" t="s">
        <v>156</v>
      </c>
      <c r="D179" s="271" t="s">
        <v>162</v>
      </c>
      <c r="E179" s="271" t="s">
        <v>100</v>
      </c>
      <c r="F179" s="272">
        <v>2030.5</v>
      </c>
      <c r="G179" s="272">
        <v>54253.99</v>
      </c>
      <c r="H179" s="271"/>
      <c r="I179" s="271" t="s">
        <v>523</v>
      </c>
      <c r="J179" s="271" t="s">
        <v>524</v>
      </c>
      <c r="K179" s="272">
        <v>-3625.05</v>
      </c>
      <c r="L179" s="272">
        <v>-725.01</v>
      </c>
      <c r="M179" s="272">
        <v>-2900.04</v>
      </c>
      <c r="N179" s="272">
        <v>0</v>
      </c>
    </row>
    <row r="180" spans="1:14">
      <c r="A180" s="271" t="s">
        <v>533</v>
      </c>
      <c r="B180" s="271" t="s">
        <v>534</v>
      </c>
      <c r="C180" s="271" t="s">
        <v>156</v>
      </c>
      <c r="D180" s="271" t="s">
        <v>162</v>
      </c>
      <c r="E180" s="271" t="s">
        <v>100</v>
      </c>
      <c r="F180" s="272">
        <v>2698.75</v>
      </c>
      <c r="G180" s="272">
        <v>12117.36</v>
      </c>
      <c r="H180" s="271"/>
      <c r="I180" s="271" t="s">
        <v>525</v>
      </c>
      <c r="J180" s="271" t="s">
        <v>526</v>
      </c>
      <c r="K180" s="272">
        <v>-119261.75</v>
      </c>
      <c r="L180" s="272">
        <v>17050.73</v>
      </c>
      <c r="M180" s="272">
        <v>-136312.48000000001</v>
      </c>
      <c r="N180" s="272">
        <v>0</v>
      </c>
    </row>
    <row r="181" spans="1:14">
      <c r="A181" s="271" t="s">
        <v>535</v>
      </c>
      <c r="B181" s="271" t="s">
        <v>536</v>
      </c>
      <c r="C181" s="271" t="s">
        <v>156</v>
      </c>
      <c r="D181" s="271" t="s">
        <v>162</v>
      </c>
      <c r="E181" s="271" t="s">
        <v>100</v>
      </c>
      <c r="F181" s="272">
        <v>3965.37</v>
      </c>
      <c r="G181" s="272">
        <v>14368.99</v>
      </c>
      <c r="H181" s="271"/>
      <c r="I181" s="271" t="s">
        <v>527</v>
      </c>
      <c r="J181" s="271" t="s">
        <v>341</v>
      </c>
      <c r="K181" s="272">
        <v>674648.21</v>
      </c>
      <c r="L181" s="272">
        <v>196690.6</v>
      </c>
      <c r="M181" s="272">
        <v>477957.61</v>
      </c>
      <c r="N181" s="272">
        <v>0</v>
      </c>
    </row>
    <row r="182" spans="1:14">
      <c r="A182" s="271" t="s">
        <v>537</v>
      </c>
      <c r="B182" s="271" t="s">
        <v>538</v>
      </c>
      <c r="C182" s="271" t="s">
        <v>156</v>
      </c>
      <c r="D182" s="271" t="s">
        <v>162</v>
      </c>
      <c r="E182" s="271" t="s">
        <v>100</v>
      </c>
      <c r="F182" s="272">
        <v>0</v>
      </c>
      <c r="G182" s="272">
        <v>0</v>
      </c>
      <c r="H182" s="271"/>
      <c r="I182" s="271" t="s">
        <v>529</v>
      </c>
      <c r="J182" s="271" t="s">
        <v>530</v>
      </c>
      <c r="K182" s="272">
        <v>0</v>
      </c>
      <c r="L182" s="272">
        <v>0</v>
      </c>
      <c r="M182" s="272">
        <v>0</v>
      </c>
      <c r="N182" s="272">
        <v>0</v>
      </c>
    </row>
    <row r="183" spans="1:14">
      <c r="A183" s="271" t="s">
        <v>539</v>
      </c>
      <c r="B183" s="271" t="s">
        <v>540</v>
      </c>
      <c r="C183" s="271" t="s">
        <v>156</v>
      </c>
      <c r="D183" s="271" t="s">
        <v>162</v>
      </c>
      <c r="E183" s="271" t="s">
        <v>100</v>
      </c>
      <c r="F183" s="272">
        <v>257832.73</v>
      </c>
      <c r="G183" s="272">
        <v>523956.97</v>
      </c>
      <c r="H183" s="271"/>
      <c r="I183" s="271" t="s">
        <v>531</v>
      </c>
      <c r="J183" s="271" t="s">
        <v>532</v>
      </c>
      <c r="K183" s="272">
        <v>2030.5</v>
      </c>
      <c r="L183" s="272">
        <v>0</v>
      </c>
      <c r="M183" s="272">
        <v>2030.5</v>
      </c>
      <c r="N183" s="272">
        <v>0</v>
      </c>
    </row>
    <row r="184" spans="1:14">
      <c r="A184" s="271" t="s">
        <v>541</v>
      </c>
      <c r="B184" s="271" t="s">
        <v>542</v>
      </c>
      <c r="C184" s="271" t="s">
        <v>156</v>
      </c>
      <c r="D184" s="271" t="s">
        <v>162</v>
      </c>
      <c r="E184" s="271" t="s">
        <v>100</v>
      </c>
      <c r="F184" s="272">
        <v>7481.32</v>
      </c>
      <c r="G184" s="272">
        <v>17128.150000000001</v>
      </c>
      <c r="H184" s="271"/>
      <c r="I184" s="271" t="s">
        <v>533</v>
      </c>
      <c r="J184" s="271" t="s">
        <v>534</v>
      </c>
      <c r="K184" s="272">
        <v>2698.75</v>
      </c>
      <c r="L184" s="272">
        <v>298</v>
      </c>
      <c r="M184" s="272">
        <v>2400.75</v>
      </c>
      <c r="N184" s="272">
        <v>0</v>
      </c>
    </row>
    <row r="185" spans="1:14">
      <c r="A185" s="271" t="s">
        <v>543</v>
      </c>
      <c r="B185" s="271" t="s">
        <v>544</v>
      </c>
      <c r="C185" s="271" t="s">
        <v>156</v>
      </c>
      <c r="D185" s="271" t="s">
        <v>162</v>
      </c>
      <c r="E185" s="271" t="s">
        <v>100</v>
      </c>
      <c r="F185" s="272">
        <v>7690.5</v>
      </c>
      <c r="G185" s="272">
        <v>11356</v>
      </c>
      <c r="H185" s="271"/>
      <c r="I185" s="271" t="s">
        <v>535</v>
      </c>
      <c r="J185" s="271" t="s">
        <v>536</v>
      </c>
      <c r="K185" s="272">
        <v>3965.37</v>
      </c>
      <c r="L185" s="272">
        <v>0</v>
      </c>
      <c r="M185" s="272">
        <v>3965.37</v>
      </c>
      <c r="N185" s="272">
        <v>0</v>
      </c>
    </row>
    <row r="186" spans="1:14">
      <c r="A186" s="271" t="s">
        <v>545</v>
      </c>
      <c r="B186" s="271" t="s">
        <v>546</v>
      </c>
      <c r="C186" s="271" t="s">
        <v>156</v>
      </c>
      <c r="D186" s="271" t="s">
        <v>162</v>
      </c>
      <c r="E186" s="271" t="s">
        <v>100</v>
      </c>
      <c r="F186" s="272">
        <v>1868.75</v>
      </c>
      <c r="G186" s="272">
        <v>1868.75</v>
      </c>
      <c r="H186" s="271"/>
      <c r="I186" s="271" t="s">
        <v>537</v>
      </c>
      <c r="J186" s="271" t="s">
        <v>538</v>
      </c>
      <c r="K186" s="272">
        <v>0</v>
      </c>
      <c r="L186" s="272">
        <v>0</v>
      </c>
      <c r="M186" s="272">
        <v>0</v>
      </c>
      <c r="N186" s="272">
        <v>0</v>
      </c>
    </row>
    <row r="187" spans="1:14">
      <c r="A187" s="271" t="s">
        <v>547</v>
      </c>
      <c r="B187" s="271" t="s">
        <v>548</v>
      </c>
      <c r="C187" s="271" t="s">
        <v>156</v>
      </c>
      <c r="D187" s="271" t="s">
        <v>169</v>
      </c>
      <c r="E187" s="271" t="s">
        <v>549</v>
      </c>
      <c r="F187" s="272">
        <v>283567.92</v>
      </c>
      <c r="G187" s="272">
        <v>635050.21</v>
      </c>
      <c r="H187" s="271"/>
      <c r="I187" s="271" t="s">
        <v>539</v>
      </c>
      <c r="J187" s="271" t="s">
        <v>540</v>
      </c>
      <c r="K187" s="272">
        <v>257832.73</v>
      </c>
      <c r="L187" s="272">
        <v>85128.28</v>
      </c>
      <c r="M187" s="272">
        <v>172704.45</v>
      </c>
      <c r="N187" s="272">
        <v>0</v>
      </c>
    </row>
    <row r="188" spans="1:14">
      <c r="A188" s="271" t="s">
        <v>550</v>
      </c>
      <c r="B188" s="271" t="s">
        <v>551</v>
      </c>
      <c r="C188" s="271" t="s">
        <v>156</v>
      </c>
      <c r="D188" s="271" t="s">
        <v>157</v>
      </c>
      <c r="E188" s="271" t="s">
        <v>100</v>
      </c>
      <c r="F188" s="272">
        <v>0</v>
      </c>
      <c r="G188" s="272">
        <v>0</v>
      </c>
      <c r="H188" s="271"/>
      <c r="I188" s="271" t="s">
        <v>541</v>
      </c>
      <c r="J188" s="271" t="s">
        <v>542</v>
      </c>
      <c r="K188" s="272">
        <v>7481.32</v>
      </c>
      <c r="L188" s="272">
        <v>5193.82</v>
      </c>
      <c r="M188" s="272">
        <v>2287.5</v>
      </c>
      <c r="N188" s="272">
        <v>0</v>
      </c>
    </row>
    <row r="189" spans="1:14">
      <c r="A189" s="271" t="s">
        <v>552</v>
      </c>
      <c r="B189" s="271" t="s">
        <v>553</v>
      </c>
      <c r="C189" s="271" t="s">
        <v>156</v>
      </c>
      <c r="D189" s="271" t="s">
        <v>162</v>
      </c>
      <c r="E189" s="271" t="s">
        <v>100</v>
      </c>
      <c r="F189" s="272">
        <v>0</v>
      </c>
      <c r="G189" s="272">
        <v>0</v>
      </c>
      <c r="H189" s="271"/>
      <c r="I189" s="271" t="s">
        <v>543</v>
      </c>
      <c r="J189" s="271" t="s">
        <v>544</v>
      </c>
      <c r="K189" s="272">
        <v>7690.5</v>
      </c>
      <c r="L189" s="272">
        <v>1320.5</v>
      </c>
      <c r="M189" s="272">
        <v>6370</v>
      </c>
      <c r="N189" s="272">
        <v>0</v>
      </c>
    </row>
    <row r="190" spans="1:14">
      <c r="A190" s="271" t="s">
        <v>554</v>
      </c>
      <c r="B190" s="271" t="s">
        <v>555</v>
      </c>
      <c r="C190" s="271" t="s">
        <v>156</v>
      </c>
      <c r="D190" s="271" t="s">
        <v>162</v>
      </c>
      <c r="E190" s="271" t="s">
        <v>100</v>
      </c>
      <c r="F190" s="272">
        <v>26888.78</v>
      </c>
      <c r="G190" s="272">
        <v>145458.26</v>
      </c>
      <c r="H190" s="271"/>
      <c r="I190" s="271" t="s">
        <v>545</v>
      </c>
      <c r="J190" s="271" t="s">
        <v>546</v>
      </c>
      <c r="K190" s="272">
        <v>1868.75</v>
      </c>
      <c r="L190" s="272">
        <v>0</v>
      </c>
      <c r="M190" s="272">
        <v>1868.75</v>
      </c>
      <c r="N190" s="272">
        <v>0</v>
      </c>
    </row>
    <row r="191" spans="1:14">
      <c r="A191" s="271" t="s">
        <v>556</v>
      </c>
      <c r="B191" s="271" t="s">
        <v>557</v>
      </c>
      <c r="C191" s="271" t="s">
        <v>156</v>
      </c>
      <c r="D191" s="271" t="s">
        <v>162</v>
      </c>
      <c r="E191" s="271" t="s">
        <v>100</v>
      </c>
      <c r="F191" s="272">
        <v>427625.86</v>
      </c>
      <c r="G191" s="272">
        <v>1618520.34</v>
      </c>
      <c r="H191" s="271"/>
      <c r="I191" s="271" t="s">
        <v>547</v>
      </c>
      <c r="J191" s="271" t="s">
        <v>548</v>
      </c>
      <c r="K191" s="272">
        <v>283567.92</v>
      </c>
      <c r="L191" s="272">
        <v>91940.6</v>
      </c>
      <c r="M191" s="272">
        <v>191627.32</v>
      </c>
      <c r="N191" s="272">
        <v>0</v>
      </c>
    </row>
    <row r="192" spans="1:14">
      <c r="A192" s="271" t="s">
        <v>558</v>
      </c>
      <c r="B192" s="271" t="s">
        <v>559</v>
      </c>
      <c r="C192" s="271" t="s">
        <v>156</v>
      </c>
      <c r="D192" s="271" t="s">
        <v>162</v>
      </c>
      <c r="E192" s="271" t="s">
        <v>100</v>
      </c>
      <c r="F192" s="272">
        <v>2144.25</v>
      </c>
      <c r="G192" s="272">
        <v>116810.95</v>
      </c>
      <c r="H192" s="271"/>
      <c r="I192" s="271" t="s">
        <v>550</v>
      </c>
      <c r="J192" s="271" t="s">
        <v>551</v>
      </c>
      <c r="K192" s="272">
        <v>0</v>
      </c>
      <c r="L192" s="272">
        <v>0</v>
      </c>
      <c r="M192" s="272">
        <v>0</v>
      </c>
      <c r="N192" s="272">
        <v>0</v>
      </c>
    </row>
    <row r="193" spans="1:14">
      <c r="A193" s="271" t="s">
        <v>560</v>
      </c>
      <c r="B193" s="271" t="s">
        <v>561</v>
      </c>
      <c r="C193" s="271" t="s">
        <v>156</v>
      </c>
      <c r="D193" s="271" t="s">
        <v>162</v>
      </c>
      <c r="E193" s="271" t="s">
        <v>100</v>
      </c>
      <c r="F193" s="272">
        <v>27349.26</v>
      </c>
      <c r="G193" s="272">
        <v>246478.9</v>
      </c>
      <c r="H193" s="271"/>
      <c r="I193" s="271" t="s">
        <v>552</v>
      </c>
      <c r="J193" s="271" t="s">
        <v>553</v>
      </c>
      <c r="K193" s="272">
        <v>0</v>
      </c>
      <c r="L193" s="272">
        <v>0</v>
      </c>
      <c r="M193" s="272">
        <v>0</v>
      </c>
      <c r="N193" s="272">
        <v>0</v>
      </c>
    </row>
    <row r="194" spans="1:14">
      <c r="A194" s="271" t="s">
        <v>562</v>
      </c>
      <c r="B194" s="271" t="s">
        <v>563</v>
      </c>
      <c r="C194" s="271" t="s">
        <v>156</v>
      </c>
      <c r="D194" s="271" t="s">
        <v>162</v>
      </c>
      <c r="E194" s="271" t="s">
        <v>100</v>
      </c>
      <c r="F194" s="272">
        <v>32455.599999999999</v>
      </c>
      <c r="G194" s="272">
        <v>248042.03</v>
      </c>
      <c r="H194" s="271"/>
      <c r="I194" s="271" t="s">
        <v>554</v>
      </c>
      <c r="J194" s="271" t="s">
        <v>555</v>
      </c>
      <c r="K194" s="272">
        <v>26888.78</v>
      </c>
      <c r="L194" s="272">
        <v>23183.41</v>
      </c>
      <c r="M194" s="272">
        <v>3705.37</v>
      </c>
      <c r="N194" s="272">
        <v>0</v>
      </c>
    </row>
    <row r="195" spans="1:14">
      <c r="A195" s="271" t="s">
        <v>564</v>
      </c>
      <c r="B195" s="271" t="s">
        <v>565</v>
      </c>
      <c r="C195" s="271" t="s">
        <v>156</v>
      </c>
      <c r="D195" s="271" t="s">
        <v>162</v>
      </c>
      <c r="E195" s="271" t="s">
        <v>100</v>
      </c>
      <c r="F195" s="272">
        <v>0</v>
      </c>
      <c r="G195" s="272">
        <v>56000</v>
      </c>
      <c r="H195" s="271"/>
      <c r="I195" s="271" t="s">
        <v>556</v>
      </c>
      <c r="J195" s="271" t="s">
        <v>557</v>
      </c>
      <c r="K195" s="272">
        <v>427625.86</v>
      </c>
      <c r="L195" s="272">
        <v>213333.57</v>
      </c>
      <c r="M195" s="272">
        <v>214292.29</v>
      </c>
      <c r="N195" s="272">
        <v>0</v>
      </c>
    </row>
    <row r="196" spans="1:14">
      <c r="A196" s="271" t="s">
        <v>566</v>
      </c>
      <c r="B196" s="271" t="s">
        <v>567</v>
      </c>
      <c r="C196" s="271" t="s">
        <v>156</v>
      </c>
      <c r="D196" s="271" t="s">
        <v>169</v>
      </c>
      <c r="E196" s="271" t="s">
        <v>568</v>
      </c>
      <c r="F196" s="272">
        <v>516463.75</v>
      </c>
      <c r="G196" s="272">
        <v>2431310.48</v>
      </c>
      <c r="H196" s="271"/>
      <c r="I196" s="271" t="s">
        <v>558</v>
      </c>
      <c r="J196" s="271" t="s">
        <v>559</v>
      </c>
      <c r="K196" s="272">
        <v>2144.25</v>
      </c>
      <c r="L196" s="272">
        <v>2121.25</v>
      </c>
      <c r="M196" s="272">
        <v>23</v>
      </c>
      <c r="N196" s="272">
        <v>0</v>
      </c>
    </row>
    <row r="197" spans="1:14">
      <c r="A197" s="271" t="s">
        <v>569</v>
      </c>
      <c r="B197" s="271" t="s">
        <v>570</v>
      </c>
      <c r="C197" s="271" t="s">
        <v>156</v>
      </c>
      <c r="D197" s="271" t="s">
        <v>157</v>
      </c>
      <c r="E197" s="271" t="s">
        <v>100</v>
      </c>
      <c r="F197" s="272">
        <v>0</v>
      </c>
      <c r="G197" s="272">
        <v>0</v>
      </c>
      <c r="H197" s="271"/>
      <c r="I197" s="271" t="s">
        <v>560</v>
      </c>
      <c r="J197" s="271" t="s">
        <v>561</v>
      </c>
      <c r="K197" s="272">
        <v>27349.26</v>
      </c>
      <c r="L197" s="272">
        <v>26804.880000000001</v>
      </c>
      <c r="M197" s="272">
        <v>544.38</v>
      </c>
      <c r="N197" s="272">
        <v>0</v>
      </c>
    </row>
    <row r="198" spans="1:14">
      <c r="A198" s="271" t="s">
        <v>571</v>
      </c>
      <c r="B198" s="271" t="s">
        <v>572</v>
      </c>
      <c r="C198" s="271" t="s">
        <v>156</v>
      </c>
      <c r="D198" s="271" t="s">
        <v>162</v>
      </c>
      <c r="E198" s="271" t="s">
        <v>100</v>
      </c>
      <c r="F198" s="272">
        <v>5666.65</v>
      </c>
      <c r="G198" s="272">
        <v>22095.21</v>
      </c>
      <c r="H198" s="271"/>
      <c r="I198" s="271" t="s">
        <v>562</v>
      </c>
      <c r="J198" s="271" t="s">
        <v>563</v>
      </c>
      <c r="K198" s="272">
        <v>32455.599999999999</v>
      </c>
      <c r="L198" s="272">
        <v>0</v>
      </c>
      <c r="M198" s="272">
        <v>32455.599999999999</v>
      </c>
      <c r="N198" s="272">
        <v>0</v>
      </c>
    </row>
    <row r="199" spans="1:14">
      <c r="A199" s="271" t="s">
        <v>573</v>
      </c>
      <c r="B199" s="271" t="s">
        <v>574</v>
      </c>
      <c r="C199" s="271" t="s">
        <v>156</v>
      </c>
      <c r="D199" s="271" t="s">
        <v>162</v>
      </c>
      <c r="E199" s="271" t="s">
        <v>100</v>
      </c>
      <c r="F199" s="272">
        <v>6000</v>
      </c>
      <c r="G199" s="272">
        <v>18000</v>
      </c>
      <c r="H199" s="271"/>
      <c r="I199" s="271" t="s">
        <v>564</v>
      </c>
      <c r="J199" s="271" t="s">
        <v>565</v>
      </c>
      <c r="K199" s="272">
        <v>0</v>
      </c>
      <c r="L199" s="272">
        <v>0</v>
      </c>
      <c r="M199" s="272">
        <v>0</v>
      </c>
      <c r="N199" s="272">
        <v>0</v>
      </c>
    </row>
    <row r="200" spans="1:14">
      <c r="A200" s="271" t="s">
        <v>575</v>
      </c>
      <c r="B200" s="271" t="s">
        <v>576</v>
      </c>
      <c r="C200" s="271" t="s">
        <v>156</v>
      </c>
      <c r="D200" s="271" t="s">
        <v>169</v>
      </c>
      <c r="E200" s="271" t="s">
        <v>577</v>
      </c>
      <c r="F200" s="272">
        <v>11666.65</v>
      </c>
      <c r="G200" s="272">
        <v>40095.21</v>
      </c>
      <c r="H200" s="271"/>
      <c r="I200" s="271" t="s">
        <v>566</v>
      </c>
      <c r="J200" s="271" t="s">
        <v>567</v>
      </c>
      <c r="K200" s="272">
        <v>516463.75</v>
      </c>
      <c r="L200" s="272">
        <v>265443.11</v>
      </c>
      <c r="M200" s="272">
        <v>251020.64</v>
      </c>
      <c r="N200" s="272">
        <v>0</v>
      </c>
    </row>
    <row r="201" spans="1:14">
      <c r="A201" s="271" t="s">
        <v>578</v>
      </c>
      <c r="B201" s="271" t="s">
        <v>579</v>
      </c>
      <c r="C201" s="271" t="s">
        <v>156</v>
      </c>
      <c r="D201" s="271" t="s">
        <v>157</v>
      </c>
      <c r="E201" s="271" t="s">
        <v>100</v>
      </c>
      <c r="F201" s="272">
        <v>0</v>
      </c>
      <c r="G201" s="272">
        <v>0</v>
      </c>
      <c r="H201" s="271"/>
      <c r="I201" s="271" t="s">
        <v>569</v>
      </c>
      <c r="J201" s="271" t="s">
        <v>570</v>
      </c>
      <c r="K201" s="272">
        <v>0</v>
      </c>
      <c r="L201" s="272">
        <v>0</v>
      </c>
      <c r="M201" s="272">
        <v>0</v>
      </c>
      <c r="N201" s="272">
        <v>0</v>
      </c>
    </row>
    <row r="202" spans="1:14">
      <c r="A202" s="271" t="s">
        <v>580</v>
      </c>
      <c r="B202" s="271" t="s">
        <v>581</v>
      </c>
      <c r="C202" s="271" t="s">
        <v>156</v>
      </c>
      <c r="D202" s="271" t="s">
        <v>162</v>
      </c>
      <c r="E202" s="271" t="s">
        <v>100</v>
      </c>
      <c r="F202" s="272">
        <v>15611.2</v>
      </c>
      <c r="G202" s="272">
        <v>106762.37</v>
      </c>
      <c r="H202" s="271"/>
      <c r="I202" s="271" t="s">
        <v>571</v>
      </c>
      <c r="J202" s="271" t="s">
        <v>572</v>
      </c>
      <c r="K202" s="272">
        <v>5666.65</v>
      </c>
      <c r="L202" s="272">
        <v>0</v>
      </c>
      <c r="M202" s="272">
        <v>5666.65</v>
      </c>
      <c r="N202" s="272">
        <v>0</v>
      </c>
    </row>
    <row r="203" spans="1:14">
      <c r="A203" s="271" t="s">
        <v>582</v>
      </c>
      <c r="B203" s="271" t="s">
        <v>583</v>
      </c>
      <c r="C203" s="271" t="s">
        <v>156</v>
      </c>
      <c r="D203" s="271" t="s">
        <v>162</v>
      </c>
      <c r="E203" s="271" t="s">
        <v>100</v>
      </c>
      <c r="F203" s="272">
        <v>61312.66</v>
      </c>
      <c r="G203" s="272">
        <v>315772.69</v>
      </c>
      <c r="H203" s="271"/>
      <c r="I203" s="271" t="s">
        <v>573</v>
      </c>
      <c r="J203" s="271" t="s">
        <v>574</v>
      </c>
      <c r="K203" s="272">
        <v>6000</v>
      </c>
      <c r="L203" s="272">
        <v>6000</v>
      </c>
      <c r="M203" s="272">
        <v>0</v>
      </c>
      <c r="N203" s="272">
        <v>0</v>
      </c>
    </row>
    <row r="204" spans="1:14">
      <c r="A204" s="271" t="s">
        <v>584</v>
      </c>
      <c r="B204" s="271" t="s">
        <v>585</v>
      </c>
      <c r="C204" s="271" t="s">
        <v>156</v>
      </c>
      <c r="D204" s="271" t="s">
        <v>162</v>
      </c>
      <c r="E204" s="271" t="s">
        <v>100</v>
      </c>
      <c r="F204" s="272">
        <v>-19212.5</v>
      </c>
      <c r="G204" s="272">
        <v>-94250</v>
      </c>
      <c r="H204" s="271"/>
      <c r="I204" s="271" t="s">
        <v>575</v>
      </c>
      <c r="J204" s="271" t="s">
        <v>576</v>
      </c>
      <c r="K204" s="272">
        <v>11666.65</v>
      </c>
      <c r="L204" s="272">
        <v>6000</v>
      </c>
      <c r="M204" s="272">
        <v>5666.65</v>
      </c>
      <c r="N204" s="272">
        <v>0</v>
      </c>
    </row>
    <row r="205" spans="1:14">
      <c r="A205" s="271" t="s">
        <v>586</v>
      </c>
      <c r="B205" s="271" t="s">
        <v>587</v>
      </c>
      <c r="C205" s="271" t="s">
        <v>156</v>
      </c>
      <c r="D205" s="271" t="s">
        <v>162</v>
      </c>
      <c r="E205" s="271" t="s">
        <v>100</v>
      </c>
      <c r="F205" s="272">
        <v>70358.350000000006</v>
      </c>
      <c r="G205" s="272">
        <v>650589.92000000004</v>
      </c>
      <c r="H205" s="271"/>
      <c r="I205" s="271" t="s">
        <v>578</v>
      </c>
      <c r="J205" s="271" t="s">
        <v>579</v>
      </c>
      <c r="K205" s="272">
        <v>0</v>
      </c>
      <c r="L205" s="272">
        <v>0</v>
      </c>
      <c r="M205" s="272">
        <v>0</v>
      </c>
      <c r="N205" s="272">
        <v>0</v>
      </c>
    </row>
    <row r="206" spans="1:14">
      <c r="A206" s="271" t="s">
        <v>588</v>
      </c>
      <c r="B206" s="271" t="s">
        <v>589</v>
      </c>
      <c r="C206" s="271" t="s">
        <v>156</v>
      </c>
      <c r="D206" s="271" t="s">
        <v>162</v>
      </c>
      <c r="E206" s="271" t="s">
        <v>100</v>
      </c>
      <c r="F206" s="272">
        <v>8277.4699999999993</v>
      </c>
      <c r="G206" s="272">
        <v>68468.73</v>
      </c>
      <c r="H206" s="271"/>
      <c r="I206" s="271" t="s">
        <v>580</v>
      </c>
      <c r="J206" s="271" t="s">
        <v>581</v>
      </c>
      <c r="K206" s="272">
        <v>15611.2</v>
      </c>
      <c r="L206" s="272">
        <v>15611.2</v>
      </c>
      <c r="M206" s="272">
        <v>0</v>
      </c>
      <c r="N206" s="272">
        <v>0</v>
      </c>
    </row>
    <row r="207" spans="1:14">
      <c r="A207" s="271" t="s">
        <v>590</v>
      </c>
      <c r="B207" s="271" t="s">
        <v>591</v>
      </c>
      <c r="C207" s="271" t="s">
        <v>156</v>
      </c>
      <c r="D207" s="271" t="s">
        <v>162</v>
      </c>
      <c r="E207" s="271" t="s">
        <v>100</v>
      </c>
      <c r="F207" s="272">
        <v>15334.23</v>
      </c>
      <c r="G207" s="272">
        <v>37264.36</v>
      </c>
      <c r="H207" s="271"/>
      <c r="I207" s="271" t="s">
        <v>582</v>
      </c>
      <c r="J207" s="271" t="s">
        <v>583</v>
      </c>
      <c r="K207" s="272">
        <v>61312.66</v>
      </c>
      <c r="L207" s="272">
        <v>61312.66</v>
      </c>
      <c r="M207" s="272">
        <v>0</v>
      </c>
      <c r="N207" s="272">
        <v>0</v>
      </c>
    </row>
    <row r="208" spans="1:14">
      <c r="A208" s="271" t="s">
        <v>592</v>
      </c>
      <c r="B208" s="271" t="s">
        <v>593</v>
      </c>
      <c r="C208" s="271" t="s">
        <v>156</v>
      </c>
      <c r="D208" s="271" t="s">
        <v>162</v>
      </c>
      <c r="E208" s="271" t="s">
        <v>100</v>
      </c>
      <c r="F208" s="272">
        <v>9447.65</v>
      </c>
      <c r="G208" s="272">
        <v>54306.95</v>
      </c>
      <c r="H208" s="271"/>
      <c r="I208" s="271" t="s">
        <v>584</v>
      </c>
      <c r="J208" s="271" t="s">
        <v>585</v>
      </c>
      <c r="K208" s="272">
        <v>-19212.5</v>
      </c>
      <c r="L208" s="272">
        <v>-19212.5</v>
      </c>
      <c r="M208" s="272">
        <v>0</v>
      </c>
      <c r="N208" s="272">
        <v>0</v>
      </c>
    </row>
    <row r="209" spans="1:14">
      <c r="A209" s="271" t="s">
        <v>594</v>
      </c>
      <c r="B209" s="271" t="s">
        <v>595</v>
      </c>
      <c r="C209" s="271" t="s">
        <v>156</v>
      </c>
      <c r="D209" s="271" t="s">
        <v>169</v>
      </c>
      <c r="E209" s="271" t="s">
        <v>596</v>
      </c>
      <c r="F209" s="272">
        <v>161129.06</v>
      </c>
      <c r="G209" s="272">
        <v>1138915.02</v>
      </c>
      <c r="H209" s="271"/>
      <c r="I209" s="271" t="s">
        <v>586</v>
      </c>
      <c r="J209" s="271" t="s">
        <v>587</v>
      </c>
      <c r="K209" s="272">
        <v>70358.350000000006</v>
      </c>
      <c r="L209" s="272">
        <v>0</v>
      </c>
      <c r="M209" s="272">
        <v>70358.350000000006</v>
      </c>
      <c r="N209" s="272">
        <v>0</v>
      </c>
    </row>
    <row r="210" spans="1:14">
      <c r="A210" s="271" t="s">
        <v>597</v>
      </c>
      <c r="B210" s="271" t="s">
        <v>595</v>
      </c>
      <c r="C210" s="271" t="s">
        <v>156</v>
      </c>
      <c r="D210" s="271" t="s">
        <v>598</v>
      </c>
      <c r="E210" s="271" t="s">
        <v>100</v>
      </c>
      <c r="F210" s="272">
        <v>0</v>
      </c>
      <c r="G210" s="272">
        <v>0</v>
      </c>
      <c r="H210" s="271"/>
      <c r="I210" s="271" t="s">
        <v>588</v>
      </c>
      <c r="J210" s="271" t="s">
        <v>589</v>
      </c>
      <c r="K210" s="272">
        <v>8277.4699999999993</v>
      </c>
      <c r="L210" s="272">
        <v>0</v>
      </c>
      <c r="M210" s="272">
        <v>8277.4699999999993</v>
      </c>
      <c r="N210" s="272">
        <v>0</v>
      </c>
    </row>
    <row r="211" spans="1:14">
      <c r="A211" s="271" t="s">
        <v>599</v>
      </c>
      <c r="B211" s="271" t="s">
        <v>600</v>
      </c>
      <c r="C211" s="271" t="s">
        <v>156</v>
      </c>
      <c r="D211" s="271" t="s">
        <v>157</v>
      </c>
      <c r="E211" s="271" t="s">
        <v>100</v>
      </c>
      <c r="F211" s="272">
        <v>0</v>
      </c>
      <c r="G211" s="272">
        <v>0</v>
      </c>
      <c r="H211" s="271"/>
      <c r="I211" s="271" t="s">
        <v>590</v>
      </c>
      <c r="J211" s="271" t="s">
        <v>591</v>
      </c>
      <c r="K211" s="272">
        <v>15334.23</v>
      </c>
      <c r="L211" s="272">
        <v>15334.23</v>
      </c>
      <c r="M211" s="272">
        <v>0</v>
      </c>
      <c r="N211" s="272">
        <v>0</v>
      </c>
    </row>
    <row r="212" spans="1:14">
      <c r="A212" s="271" t="s">
        <v>601</v>
      </c>
      <c r="B212" s="271" t="s">
        <v>602</v>
      </c>
      <c r="C212" s="271" t="s">
        <v>156</v>
      </c>
      <c r="D212" s="271" t="s">
        <v>162</v>
      </c>
      <c r="E212" s="271" t="s">
        <v>100</v>
      </c>
      <c r="F212" s="272">
        <v>0</v>
      </c>
      <c r="G212" s="272">
        <v>0</v>
      </c>
      <c r="H212" s="271"/>
      <c r="I212" s="271" t="s">
        <v>592</v>
      </c>
      <c r="J212" s="271" t="s">
        <v>593</v>
      </c>
      <c r="K212" s="272">
        <v>9447.65</v>
      </c>
      <c r="L212" s="272">
        <v>9447.65</v>
      </c>
      <c r="M212" s="272">
        <v>0</v>
      </c>
      <c r="N212" s="272">
        <v>0</v>
      </c>
    </row>
    <row r="213" spans="1:14">
      <c r="A213" s="271" t="s">
        <v>603</v>
      </c>
      <c r="B213" s="271" t="s">
        <v>604</v>
      </c>
      <c r="C213" s="271" t="s">
        <v>156</v>
      </c>
      <c r="D213" s="271" t="s">
        <v>162</v>
      </c>
      <c r="E213" s="271" t="s">
        <v>100</v>
      </c>
      <c r="F213" s="272">
        <v>6994.5</v>
      </c>
      <c r="G213" s="272">
        <v>102886.62</v>
      </c>
      <c r="H213" s="271"/>
      <c r="I213" s="271" t="s">
        <v>594</v>
      </c>
      <c r="J213" s="271" t="s">
        <v>595</v>
      </c>
      <c r="K213" s="272">
        <v>161129.06</v>
      </c>
      <c r="L213" s="272">
        <v>82493.240000000005</v>
      </c>
      <c r="M213" s="272">
        <v>78635.820000000007</v>
      </c>
      <c r="N213" s="272">
        <v>0</v>
      </c>
    </row>
    <row r="214" spans="1:14">
      <c r="A214" s="271" t="s">
        <v>605</v>
      </c>
      <c r="B214" s="271" t="s">
        <v>606</v>
      </c>
      <c r="C214" s="271" t="s">
        <v>156</v>
      </c>
      <c r="D214" s="271" t="s">
        <v>162</v>
      </c>
      <c r="E214" s="271" t="s">
        <v>100</v>
      </c>
      <c r="F214" s="272">
        <v>265.33</v>
      </c>
      <c r="G214" s="272">
        <v>14699.16</v>
      </c>
      <c r="H214" s="271"/>
      <c r="I214" s="271" t="s">
        <v>597</v>
      </c>
      <c r="J214" s="271" t="s">
        <v>595</v>
      </c>
      <c r="K214" s="272">
        <v>0</v>
      </c>
      <c r="L214" s="272">
        <v>0</v>
      </c>
      <c r="M214" s="272">
        <v>0</v>
      </c>
      <c r="N214" s="272">
        <v>0</v>
      </c>
    </row>
    <row r="215" spans="1:14">
      <c r="A215" s="271" t="s">
        <v>607</v>
      </c>
      <c r="B215" s="271" t="s">
        <v>608</v>
      </c>
      <c r="C215" s="271" t="s">
        <v>156</v>
      </c>
      <c r="D215" s="271" t="s">
        <v>162</v>
      </c>
      <c r="E215" s="271" t="s">
        <v>100</v>
      </c>
      <c r="F215" s="272">
        <v>25544.880000000001</v>
      </c>
      <c r="G215" s="272">
        <v>33695.879999999997</v>
      </c>
      <c r="H215" s="271"/>
      <c r="I215" s="271" t="s">
        <v>599</v>
      </c>
      <c r="J215" s="271" t="s">
        <v>600</v>
      </c>
      <c r="K215" s="272">
        <v>0</v>
      </c>
      <c r="L215" s="272">
        <v>0</v>
      </c>
      <c r="M215" s="272">
        <v>0</v>
      </c>
      <c r="N215" s="272">
        <v>0</v>
      </c>
    </row>
    <row r="216" spans="1:14">
      <c r="A216" s="271" t="s">
        <v>609</v>
      </c>
      <c r="B216" s="271" t="s">
        <v>610</v>
      </c>
      <c r="C216" s="271" t="s">
        <v>156</v>
      </c>
      <c r="D216" s="271" t="s">
        <v>162</v>
      </c>
      <c r="E216" s="271" t="s">
        <v>100</v>
      </c>
      <c r="F216" s="272">
        <v>0</v>
      </c>
      <c r="G216" s="272">
        <v>105</v>
      </c>
      <c r="H216" s="271"/>
      <c r="I216" s="271" t="s">
        <v>601</v>
      </c>
      <c r="J216" s="271" t="s">
        <v>602</v>
      </c>
      <c r="K216" s="272">
        <v>0</v>
      </c>
      <c r="L216" s="272">
        <v>0</v>
      </c>
      <c r="M216" s="272">
        <v>0</v>
      </c>
      <c r="N216" s="272">
        <v>0</v>
      </c>
    </row>
    <row r="217" spans="1:14">
      <c r="A217" s="271" t="s">
        <v>611</v>
      </c>
      <c r="B217" s="271" t="s">
        <v>612</v>
      </c>
      <c r="C217" s="271" t="s">
        <v>156</v>
      </c>
      <c r="D217" s="271" t="s">
        <v>162</v>
      </c>
      <c r="E217" s="271" t="s">
        <v>100</v>
      </c>
      <c r="F217" s="272">
        <v>727.26</v>
      </c>
      <c r="G217" s="272">
        <v>1454.51</v>
      </c>
      <c r="H217" s="271"/>
      <c r="I217" s="271" t="s">
        <v>603</v>
      </c>
      <c r="J217" s="271" t="s">
        <v>604</v>
      </c>
      <c r="K217" s="272">
        <v>6994.5</v>
      </c>
      <c r="L217" s="272">
        <v>0</v>
      </c>
      <c r="M217" s="272">
        <v>6994.5</v>
      </c>
      <c r="N217" s="272">
        <v>0</v>
      </c>
    </row>
    <row r="218" spans="1:14">
      <c r="A218" s="271" t="s">
        <v>613</v>
      </c>
      <c r="B218" s="271" t="s">
        <v>614</v>
      </c>
      <c r="C218" s="271" t="s">
        <v>156</v>
      </c>
      <c r="D218" s="271" t="s">
        <v>162</v>
      </c>
      <c r="E218" s="271" t="s">
        <v>100</v>
      </c>
      <c r="F218" s="272">
        <v>0</v>
      </c>
      <c r="G218" s="272">
        <v>0</v>
      </c>
      <c r="H218" s="271"/>
      <c r="I218" s="271" t="s">
        <v>605</v>
      </c>
      <c r="J218" s="271" t="s">
        <v>606</v>
      </c>
      <c r="K218" s="272">
        <v>265.33</v>
      </c>
      <c r="L218" s="272">
        <v>0</v>
      </c>
      <c r="M218" s="272">
        <v>265.33</v>
      </c>
      <c r="N218" s="272">
        <v>0</v>
      </c>
    </row>
    <row r="219" spans="1:14">
      <c r="A219" s="271" t="s">
        <v>615</v>
      </c>
      <c r="B219" s="271" t="s">
        <v>616</v>
      </c>
      <c r="C219" s="271" t="s">
        <v>156</v>
      </c>
      <c r="D219" s="271" t="s">
        <v>162</v>
      </c>
      <c r="E219" s="271" t="s">
        <v>100</v>
      </c>
      <c r="F219" s="272">
        <v>7252.07</v>
      </c>
      <c r="G219" s="272">
        <v>-9224.27</v>
      </c>
      <c r="H219" s="271"/>
      <c r="I219" s="271" t="s">
        <v>607</v>
      </c>
      <c r="J219" s="271" t="s">
        <v>608</v>
      </c>
      <c r="K219" s="272">
        <v>25544.880000000001</v>
      </c>
      <c r="L219" s="272">
        <v>0</v>
      </c>
      <c r="M219" s="272">
        <v>25544.880000000001</v>
      </c>
      <c r="N219" s="272">
        <v>0</v>
      </c>
    </row>
    <row r="220" spans="1:14">
      <c r="A220" s="271" t="s">
        <v>617</v>
      </c>
      <c r="B220" s="271" t="s">
        <v>618</v>
      </c>
      <c r="C220" s="271" t="s">
        <v>156</v>
      </c>
      <c r="D220" s="271" t="s">
        <v>169</v>
      </c>
      <c r="E220" s="271" t="s">
        <v>619</v>
      </c>
      <c r="F220" s="272">
        <v>40784.04</v>
      </c>
      <c r="G220" s="272">
        <v>143616.9</v>
      </c>
      <c r="H220" s="271"/>
      <c r="I220" s="271" t="s">
        <v>609</v>
      </c>
      <c r="J220" s="271" t="s">
        <v>610</v>
      </c>
      <c r="K220" s="272">
        <v>0</v>
      </c>
      <c r="L220" s="272">
        <v>0</v>
      </c>
      <c r="M220" s="272">
        <v>0</v>
      </c>
      <c r="N220" s="272">
        <v>0</v>
      </c>
    </row>
    <row r="221" spans="1:14">
      <c r="A221" s="271" t="s">
        <v>620</v>
      </c>
      <c r="B221" s="271" t="s">
        <v>621</v>
      </c>
      <c r="C221" s="271" t="s">
        <v>156</v>
      </c>
      <c r="D221" s="271" t="s">
        <v>169</v>
      </c>
      <c r="E221" s="271" t="s">
        <v>622</v>
      </c>
      <c r="F221" s="272">
        <v>1450680.74</v>
      </c>
      <c r="G221" s="272">
        <v>3763874.84</v>
      </c>
      <c r="H221" s="271"/>
      <c r="I221" s="271" t="s">
        <v>611</v>
      </c>
      <c r="J221" s="271" t="s">
        <v>612</v>
      </c>
      <c r="K221" s="272">
        <v>727.26</v>
      </c>
      <c r="L221" s="272">
        <v>0</v>
      </c>
      <c r="M221" s="272">
        <v>727.26</v>
      </c>
      <c r="N221" s="272">
        <v>0</v>
      </c>
    </row>
    <row r="222" spans="1:14">
      <c r="A222" s="271" t="s">
        <v>623</v>
      </c>
      <c r="B222" s="271" t="s">
        <v>624</v>
      </c>
      <c r="C222" s="271" t="s">
        <v>156</v>
      </c>
      <c r="D222" s="271" t="s">
        <v>169</v>
      </c>
      <c r="E222" s="271" t="s">
        <v>625</v>
      </c>
      <c r="F222" s="272">
        <v>1450680.74</v>
      </c>
      <c r="G222" s="272">
        <v>3763874.84</v>
      </c>
      <c r="H222" s="271"/>
      <c r="I222" s="271" t="s">
        <v>613</v>
      </c>
      <c r="J222" s="271" t="s">
        <v>614</v>
      </c>
      <c r="K222" s="272">
        <v>0</v>
      </c>
      <c r="L222" s="272">
        <v>0</v>
      </c>
      <c r="M222" s="272">
        <v>0</v>
      </c>
      <c r="N222" s="272">
        <v>0</v>
      </c>
    </row>
    <row r="223" spans="1:14">
      <c r="A223" s="271" t="s">
        <v>626</v>
      </c>
      <c r="B223" s="271" t="s">
        <v>627</v>
      </c>
      <c r="C223" s="271" t="s">
        <v>156</v>
      </c>
      <c r="D223" s="271" t="s">
        <v>157</v>
      </c>
      <c r="E223" s="271" t="s">
        <v>100</v>
      </c>
      <c r="F223" s="272">
        <v>0</v>
      </c>
      <c r="G223" s="272">
        <v>0</v>
      </c>
      <c r="H223" s="271"/>
      <c r="I223" s="271" t="s">
        <v>615</v>
      </c>
      <c r="J223" s="271" t="s">
        <v>616</v>
      </c>
      <c r="K223" s="272">
        <v>7252.07</v>
      </c>
      <c r="L223" s="272">
        <v>0</v>
      </c>
      <c r="M223" s="272">
        <v>7252.07</v>
      </c>
      <c r="N223" s="272">
        <v>0</v>
      </c>
    </row>
    <row r="224" spans="1:14">
      <c r="A224" s="271" t="s">
        <v>628</v>
      </c>
      <c r="B224" s="271" t="s">
        <v>629</v>
      </c>
      <c r="C224" s="271" t="s">
        <v>156</v>
      </c>
      <c r="D224" s="271" t="s">
        <v>162</v>
      </c>
      <c r="E224" s="271" t="s">
        <v>100</v>
      </c>
      <c r="F224" s="272">
        <v>5355.72</v>
      </c>
      <c r="G224" s="272">
        <v>15406.66</v>
      </c>
      <c r="H224" s="271"/>
      <c r="I224" s="271" t="s">
        <v>617</v>
      </c>
      <c r="J224" s="271" t="s">
        <v>618</v>
      </c>
      <c r="K224" s="272">
        <v>40784.04</v>
      </c>
      <c r="L224" s="272">
        <v>0</v>
      </c>
      <c r="M224" s="272">
        <v>40784.04</v>
      </c>
      <c r="N224" s="272">
        <v>0</v>
      </c>
    </row>
    <row r="225" spans="1:14">
      <c r="A225" s="271" t="s">
        <v>630</v>
      </c>
      <c r="B225" s="271" t="s">
        <v>631</v>
      </c>
      <c r="C225" s="271" t="s">
        <v>156</v>
      </c>
      <c r="D225" s="271" t="s">
        <v>169</v>
      </c>
      <c r="E225" s="271" t="s">
        <v>632</v>
      </c>
      <c r="F225" s="272">
        <v>5355.72</v>
      </c>
      <c r="G225" s="272">
        <v>15406.66</v>
      </c>
      <c r="H225" s="271"/>
      <c r="I225" s="271" t="s">
        <v>620</v>
      </c>
      <c r="J225" s="271" t="s">
        <v>621</v>
      </c>
      <c r="K225" s="272">
        <v>1450697</v>
      </c>
      <c r="L225" s="272">
        <v>678176.2</v>
      </c>
      <c r="M225" s="272">
        <v>739605.05</v>
      </c>
      <c r="N225" s="272">
        <v>32915.75</v>
      </c>
    </row>
    <row r="226" spans="1:14">
      <c r="A226" s="271" t="s">
        <v>633</v>
      </c>
      <c r="B226" s="271" t="s">
        <v>634</v>
      </c>
      <c r="C226" s="271" t="s">
        <v>156</v>
      </c>
      <c r="D226" s="271" t="s">
        <v>169</v>
      </c>
      <c r="E226" s="271" t="s">
        <v>635</v>
      </c>
      <c r="F226" s="272">
        <v>1456036.46</v>
      </c>
      <c r="G226" s="272">
        <v>3779281.5</v>
      </c>
      <c r="H226" s="271"/>
      <c r="I226" s="271" t="s">
        <v>623</v>
      </c>
      <c r="J226" s="271" t="s">
        <v>624</v>
      </c>
      <c r="K226" s="272">
        <v>1450697</v>
      </c>
      <c r="L226" s="272">
        <v>678176.2</v>
      </c>
      <c r="M226" s="272">
        <v>739605.05</v>
      </c>
      <c r="N226" s="272">
        <v>32915.75</v>
      </c>
    </row>
    <row r="227" spans="1:14">
      <c r="A227" s="271" t="s">
        <v>636</v>
      </c>
      <c r="B227" s="271" t="s">
        <v>637</v>
      </c>
      <c r="C227" s="271" t="s">
        <v>156</v>
      </c>
      <c r="D227" s="271" t="s">
        <v>157</v>
      </c>
      <c r="E227" s="271" t="s">
        <v>100</v>
      </c>
      <c r="F227" s="272">
        <v>0</v>
      </c>
      <c r="G227" s="272">
        <v>0</v>
      </c>
      <c r="H227" s="271"/>
      <c r="I227" s="271" t="s">
        <v>626</v>
      </c>
      <c r="J227" s="271" t="s">
        <v>627</v>
      </c>
      <c r="K227" s="272">
        <v>0</v>
      </c>
      <c r="L227" s="272">
        <v>0</v>
      </c>
      <c r="M227" s="272">
        <v>0</v>
      </c>
      <c r="N227" s="272">
        <v>0</v>
      </c>
    </row>
    <row r="228" spans="1:14">
      <c r="A228" s="271" t="s">
        <v>638</v>
      </c>
      <c r="B228" s="271" t="s">
        <v>639</v>
      </c>
      <c r="C228" s="271" t="s">
        <v>156</v>
      </c>
      <c r="D228" s="271" t="s">
        <v>157</v>
      </c>
      <c r="E228" s="271" t="s">
        <v>100</v>
      </c>
      <c r="F228" s="272">
        <v>0</v>
      </c>
      <c r="G228" s="272">
        <v>0</v>
      </c>
      <c r="H228" s="271"/>
      <c r="I228" s="271" t="s">
        <v>628</v>
      </c>
      <c r="J228" s="271" t="s">
        <v>629</v>
      </c>
      <c r="K228" s="272">
        <v>0</v>
      </c>
      <c r="L228" s="272">
        <v>0</v>
      </c>
      <c r="M228" s="272">
        <v>0</v>
      </c>
      <c r="N228" s="272">
        <v>0</v>
      </c>
    </row>
    <row r="229" spans="1:14">
      <c r="A229" s="271" t="s">
        <v>640</v>
      </c>
      <c r="B229" s="271" t="s">
        <v>641</v>
      </c>
      <c r="C229" s="271" t="s">
        <v>156</v>
      </c>
      <c r="D229" s="271" t="s">
        <v>162</v>
      </c>
      <c r="E229" s="271" t="s">
        <v>100</v>
      </c>
      <c r="F229" s="272">
        <v>-142236.51999999999</v>
      </c>
      <c r="G229" s="272">
        <v>-2733501.95</v>
      </c>
      <c r="H229" s="271"/>
      <c r="I229" s="271" t="s">
        <v>630</v>
      </c>
      <c r="J229" s="271" t="s">
        <v>631</v>
      </c>
      <c r="K229" s="272">
        <v>0</v>
      </c>
      <c r="L229" s="272">
        <v>0</v>
      </c>
      <c r="M229" s="272">
        <v>0</v>
      </c>
      <c r="N229" s="272">
        <v>0</v>
      </c>
    </row>
    <row r="230" spans="1:14">
      <c r="A230" s="271" t="s">
        <v>642</v>
      </c>
      <c r="B230" s="271" t="s">
        <v>643</v>
      </c>
      <c r="C230" s="271" t="s">
        <v>156</v>
      </c>
      <c r="D230" s="271" t="s">
        <v>162</v>
      </c>
      <c r="E230" s="271" t="s">
        <v>100</v>
      </c>
      <c r="F230" s="272">
        <v>-1770</v>
      </c>
      <c r="G230" s="272">
        <v>-46597.64</v>
      </c>
      <c r="H230" s="271"/>
      <c r="I230" s="271" t="s">
        <v>633</v>
      </c>
      <c r="J230" s="271" t="s">
        <v>634</v>
      </c>
      <c r="K230" s="272">
        <v>1450697</v>
      </c>
      <c r="L230" s="272">
        <v>678176.2</v>
      </c>
      <c r="M230" s="272">
        <v>739605.05</v>
      </c>
      <c r="N230" s="272">
        <v>32915.75</v>
      </c>
    </row>
    <row r="231" spans="1:14">
      <c r="A231" s="271" t="s">
        <v>644</v>
      </c>
      <c r="B231" s="271" t="s">
        <v>645</v>
      </c>
      <c r="C231" s="271" t="s">
        <v>156</v>
      </c>
      <c r="D231" s="271" t="s">
        <v>162</v>
      </c>
      <c r="E231" s="271" t="s">
        <v>100</v>
      </c>
      <c r="F231" s="272">
        <v>0</v>
      </c>
      <c r="G231" s="272">
        <v>0</v>
      </c>
      <c r="H231" s="271"/>
    </row>
    <row r="232" spans="1:14">
      <c r="A232" s="271" t="s">
        <v>646</v>
      </c>
      <c r="B232" s="271" t="s">
        <v>202</v>
      </c>
      <c r="C232" s="271" t="s">
        <v>156</v>
      </c>
      <c r="D232" s="271" t="s">
        <v>162</v>
      </c>
      <c r="E232" s="271" t="s">
        <v>100</v>
      </c>
      <c r="F232" s="272">
        <v>-540</v>
      </c>
      <c r="G232" s="272">
        <v>-34857.01</v>
      </c>
      <c r="H232" s="271"/>
    </row>
    <row r="233" spans="1:14">
      <c r="A233" s="271" t="s">
        <v>647</v>
      </c>
      <c r="B233" s="271" t="s">
        <v>648</v>
      </c>
      <c r="C233" s="271" t="s">
        <v>156</v>
      </c>
      <c r="D233" s="271" t="s">
        <v>162</v>
      </c>
      <c r="E233" s="271" t="s">
        <v>100</v>
      </c>
      <c r="F233" s="272">
        <v>7000</v>
      </c>
      <c r="G233" s="272">
        <v>93271.9</v>
      </c>
      <c r="H233" s="271"/>
    </row>
    <row r="234" spans="1:14">
      <c r="A234" s="271" t="s">
        <v>649</v>
      </c>
      <c r="B234" s="271" t="s">
        <v>650</v>
      </c>
      <c r="C234" s="271" t="s">
        <v>156</v>
      </c>
      <c r="D234" s="271" t="s">
        <v>162</v>
      </c>
      <c r="E234" s="271" t="s">
        <v>100</v>
      </c>
      <c r="F234" s="272">
        <v>8059.89</v>
      </c>
      <c r="G234" s="272">
        <v>218448.98</v>
      </c>
      <c r="H234" s="271"/>
    </row>
    <row r="235" spans="1:14">
      <c r="A235" s="271" t="s">
        <v>651</v>
      </c>
      <c r="B235" s="271" t="s">
        <v>652</v>
      </c>
      <c r="C235" s="271" t="s">
        <v>156</v>
      </c>
      <c r="D235" s="271" t="s">
        <v>162</v>
      </c>
      <c r="E235" s="271" t="s">
        <v>100</v>
      </c>
      <c r="F235" s="272">
        <v>27205.9</v>
      </c>
      <c r="G235" s="272">
        <v>368251.52</v>
      </c>
      <c r="H235" s="271"/>
    </row>
    <row r="236" spans="1:14">
      <c r="A236" s="271" t="s">
        <v>653</v>
      </c>
      <c r="B236" s="271" t="s">
        <v>654</v>
      </c>
      <c r="C236" s="271" t="s">
        <v>156</v>
      </c>
      <c r="D236" s="271" t="s">
        <v>162</v>
      </c>
      <c r="E236" s="271" t="s">
        <v>100</v>
      </c>
      <c r="F236" s="272">
        <v>5660</v>
      </c>
      <c r="G236" s="272">
        <v>7525</v>
      </c>
      <c r="H236" s="271"/>
    </row>
    <row r="237" spans="1:14">
      <c r="A237" s="271" t="s">
        <v>655</v>
      </c>
      <c r="B237" s="271" t="s">
        <v>656</v>
      </c>
      <c r="C237" s="271" t="s">
        <v>156</v>
      </c>
      <c r="D237" s="271" t="s">
        <v>162</v>
      </c>
      <c r="E237" s="271" t="s">
        <v>100</v>
      </c>
      <c r="F237" s="272">
        <v>9505.67</v>
      </c>
      <c r="G237" s="272">
        <v>25998.880000000001</v>
      </c>
      <c r="H237" s="271"/>
    </row>
    <row r="238" spans="1:14">
      <c r="A238" s="271" t="s">
        <v>657</v>
      </c>
      <c r="B238" s="271" t="s">
        <v>658</v>
      </c>
      <c r="C238" s="271" t="s">
        <v>156</v>
      </c>
      <c r="D238" s="271" t="s">
        <v>162</v>
      </c>
      <c r="E238" s="271" t="s">
        <v>100</v>
      </c>
      <c r="F238" s="272">
        <v>504</v>
      </c>
      <c r="G238" s="272">
        <v>1100</v>
      </c>
      <c r="H238" s="271"/>
    </row>
    <row r="239" spans="1:14">
      <c r="A239" s="271" t="s">
        <v>659</v>
      </c>
      <c r="B239" s="271" t="s">
        <v>660</v>
      </c>
      <c r="C239" s="271" t="s">
        <v>156</v>
      </c>
      <c r="D239" s="271" t="s">
        <v>162</v>
      </c>
      <c r="E239" s="271" t="s">
        <v>100</v>
      </c>
      <c r="F239" s="272">
        <v>90734.91</v>
      </c>
      <c r="G239" s="272">
        <v>1081507.23</v>
      </c>
      <c r="H239" s="271"/>
    </row>
    <row r="240" spans="1:14">
      <c r="A240" s="271" t="s">
        <v>661</v>
      </c>
      <c r="B240" s="271" t="s">
        <v>662</v>
      </c>
      <c r="C240" s="271" t="s">
        <v>156</v>
      </c>
      <c r="D240" s="271" t="s">
        <v>162</v>
      </c>
      <c r="E240" s="271" t="s">
        <v>100</v>
      </c>
      <c r="F240" s="272">
        <v>0</v>
      </c>
      <c r="G240" s="272">
        <v>183.75</v>
      </c>
      <c r="H240" s="271"/>
    </row>
    <row r="241" spans="1:8">
      <c r="A241" s="271" t="s">
        <v>663</v>
      </c>
      <c r="B241" s="271" t="s">
        <v>664</v>
      </c>
      <c r="C241" s="271" t="s">
        <v>156</v>
      </c>
      <c r="D241" s="271" t="s">
        <v>162</v>
      </c>
      <c r="E241" s="271" t="s">
        <v>100</v>
      </c>
      <c r="F241" s="272">
        <v>28362.81</v>
      </c>
      <c r="G241" s="272">
        <v>887332.13</v>
      </c>
      <c r="H241" s="271"/>
    </row>
    <row r="242" spans="1:8">
      <c r="A242" s="271" t="s">
        <v>665</v>
      </c>
      <c r="B242" s="271" t="s">
        <v>666</v>
      </c>
      <c r="C242" s="271" t="s">
        <v>156</v>
      </c>
      <c r="D242" s="271" t="s">
        <v>162</v>
      </c>
      <c r="E242" s="271" t="s">
        <v>100</v>
      </c>
      <c r="F242" s="272">
        <v>0</v>
      </c>
      <c r="G242" s="272">
        <v>145579.56</v>
      </c>
      <c r="H242" s="271"/>
    </row>
    <row r="243" spans="1:8">
      <c r="A243" s="271" t="s">
        <v>667</v>
      </c>
      <c r="B243" s="271" t="s">
        <v>220</v>
      </c>
      <c r="C243" s="271" t="s">
        <v>156</v>
      </c>
      <c r="D243" s="271" t="s">
        <v>162</v>
      </c>
      <c r="E243" s="271" t="s">
        <v>100</v>
      </c>
      <c r="F243" s="272">
        <v>5335.5</v>
      </c>
      <c r="G243" s="272">
        <v>72052.75</v>
      </c>
      <c r="H243" s="271"/>
    </row>
    <row r="244" spans="1:8">
      <c r="A244" s="271" t="s">
        <v>668</v>
      </c>
      <c r="B244" s="271" t="s">
        <v>669</v>
      </c>
      <c r="C244" s="271" t="s">
        <v>156</v>
      </c>
      <c r="D244" s="271" t="s">
        <v>162</v>
      </c>
      <c r="E244" s="271" t="s">
        <v>100</v>
      </c>
      <c r="F244" s="272">
        <v>6250</v>
      </c>
      <c r="G244" s="272">
        <v>135168.75</v>
      </c>
      <c r="H244" s="271"/>
    </row>
    <row r="245" spans="1:8">
      <c r="A245" s="271" t="s">
        <v>670</v>
      </c>
      <c r="B245" s="271" t="s">
        <v>671</v>
      </c>
      <c r="C245" s="271" t="s">
        <v>156</v>
      </c>
      <c r="D245" s="271" t="s">
        <v>162</v>
      </c>
      <c r="E245" s="271" t="s">
        <v>100</v>
      </c>
      <c r="F245" s="272">
        <v>0</v>
      </c>
      <c r="G245" s="272">
        <v>0</v>
      </c>
      <c r="H245" s="271"/>
    </row>
    <row r="246" spans="1:8">
      <c r="A246" s="271" t="s">
        <v>672</v>
      </c>
      <c r="B246" s="271" t="s">
        <v>673</v>
      </c>
      <c r="C246" s="271" t="s">
        <v>156</v>
      </c>
      <c r="D246" s="271" t="s">
        <v>169</v>
      </c>
      <c r="E246" s="271" t="s">
        <v>674</v>
      </c>
      <c r="F246" s="272">
        <v>44072.160000000003</v>
      </c>
      <c r="G246" s="272">
        <v>221463.85</v>
      </c>
      <c r="H246" s="271"/>
    </row>
    <row r="247" spans="1:8">
      <c r="A247" s="271" t="s">
        <v>675</v>
      </c>
      <c r="B247" s="271" t="s">
        <v>676</v>
      </c>
      <c r="C247" s="271" t="s">
        <v>156</v>
      </c>
      <c r="D247" s="271" t="s">
        <v>157</v>
      </c>
      <c r="E247" s="271" t="s">
        <v>100</v>
      </c>
      <c r="F247" s="272">
        <v>0</v>
      </c>
      <c r="G247" s="272">
        <v>0</v>
      </c>
      <c r="H247" s="271"/>
    </row>
    <row r="248" spans="1:8">
      <c r="A248" s="271" t="s">
        <v>677</v>
      </c>
      <c r="B248" s="271" t="s">
        <v>678</v>
      </c>
      <c r="C248" s="271" t="s">
        <v>156</v>
      </c>
      <c r="D248" s="271" t="s">
        <v>162</v>
      </c>
      <c r="E248" s="271" t="s">
        <v>100</v>
      </c>
      <c r="F248" s="272">
        <v>0</v>
      </c>
      <c r="G248" s="272">
        <v>0</v>
      </c>
      <c r="H248" s="271"/>
    </row>
    <row r="249" spans="1:8">
      <c r="A249" s="271" t="s">
        <v>679</v>
      </c>
      <c r="B249" s="271" t="s">
        <v>680</v>
      </c>
      <c r="C249" s="271" t="s">
        <v>156</v>
      </c>
      <c r="D249" s="271" t="s">
        <v>162</v>
      </c>
      <c r="E249" s="271" t="s">
        <v>100</v>
      </c>
      <c r="F249" s="272">
        <v>0</v>
      </c>
      <c r="G249" s="272">
        <v>0</v>
      </c>
      <c r="H249" s="271"/>
    </row>
    <row r="250" spans="1:8">
      <c r="A250" s="271" t="s">
        <v>681</v>
      </c>
      <c r="B250" s="271" t="s">
        <v>682</v>
      </c>
      <c r="C250" s="271" t="s">
        <v>156</v>
      </c>
      <c r="D250" s="271" t="s">
        <v>169</v>
      </c>
      <c r="E250" s="271" t="s">
        <v>683</v>
      </c>
      <c r="F250" s="272">
        <v>0</v>
      </c>
      <c r="G250" s="272">
        <v>0</v>
      </c>
      <c r="H250" s="271"/>
    </row>
    <row r="251" spans="1:8">
      <c r="A251" s="271" t="s">
        <v>684</v>
      </c>
      <c r="B251" s="271" t="s">
        <v>685</v>
      </c>
      <c r="C251" s="271" t="s">
        <v>156</v>
      </c>
      <c r="D251" s="271" t="s">
        <v>157</v>
      </c>
      <c r="E251" s="271" t="s">
        <v>100</v>
      </c>
      <c r="F251" s="272">
        <v>0</v>
      </c>
      <c r="G251" s="272">
        <v>0</v>
      </c>
      <c r="H251" s="271"/>
    </row>
    <row r="252" spans="1:8">
      <c r="A252" s="271" t="s">
        <v>686</v>
      </c>
      <c r="B252" s="271" t="s">
        <v>687</v>
      </c>
      <c r="C252" s="271" t="s">
        <v>156</v>
      </c>
      <c r="D252" s="271" t="s">
        <v>162</v>
      </c>
      <c r="E252" s="271" t="s">
        <v>100</v>
      </c>
      <c r="F252" s="272">
        <v>38333.97</v>
      </c>
      <c r="G252" s="272">
        <v>238765.76</v>
      </c>
      <c r="H252" s="271"/>
    </row>
    <row r="253" spans="1:8">
      <c r="A253" s="271" t="s">
        <v>688</v>
      </c>
      <c r="B253" s="271" t="s">
        <v>689</v>
      </c>
      <c r="C253" s="271" t="s">
        <v>156</v>
      </c>
      <c r="D253" s="271" t="s">
        <v>162</v>
      </c>
      <c r="E253" s="271" t="s">
        <v>100</v>
      </c>
      <c r="F253" s="272">
        <v>0</v>
      </c>
      <c r="G253" s="272">
        <v>0</v>
      </c>
      <c r="H253" s="271"/>
    </row>
    <row r="254" spans="1:8">
      <c r="A254" s="271" t="s">
        <v>690</v>
      </c>
      <c r="B254" s="271" t="s">
        <v>691</v>
      </c>
      <c r="C254" s="271" t="s">
        <v>156</v>
      </c>
      <c r="D254" s="271" t="s">
        <v>162</v>
      </c>
      <c r="E254" s="271" t="s">
        <v>100</v>
      </c>
      <c r="F254" s="272">
        <v>11883.1</v>
      </c>
      <c r="G254" s="272">
        <v>31619.16</v>
      </c>
      <c r="H254" s="271"/>
    </row>
    <row r="255" spans="1:8">
      <c r="A255" s="271" t="s">
        <v>692</v>
      </c>
      <c r="B255" s="271" t="s">
        <v>693</v>
      </c>
      <c r="C255" s="271" t="s">
        <v>156</v>
      </c>
      <c r="D255" s="271" t="s">
        <v>162</v>
      </c>
      <c r="E255" s="271" t="s">
        <v>100</v>
      </c>
      <c r="F255" s="272">
        <v>700</v>
      </c>
      <c r="G255" s="272">
        <v>25604.54</v>
      </c>
      <c r="H255" s="271"/>
    </row>
    <row r="256" spans="1:8">
      <c r="A256" s="271" t="s">
        <v>694</v>
      </c>
      <c r="B256" s="271" t="s">
        <v>695</v>
      </c>
      <c r="C256" s="271" t="s">
        <v>156</v>
      </c>
      <c r="D256" s="271" t="s">
        <v>162</v>
      </c>
      <c r="E256" s="271" t="s">
        <v>100</v>
      </c>
      <c r="F256" s="272">
        <v>7787.5</v>
      </c>
      <c r="G256" s="272">
        <v>8848.9</v>
      </c>
      <c r="H256" s="271"/>
    </row>
    <row r="257" spans="1:8">
      <c r="A257" s="271" t="s">
        <v>696</v>
      </c>
      <c r="B257" s="271" t="s">
        <v>697</v>
      </c>
      <c r="C257" s="271" t="s">
        <v>156</v>
      </c>
      <c r="D257" s="271" t="s">
        <v>169</v>
      </c>
      <c r="E257" s="271" t="s">
        <v>698</v>
      </c>
      <c r="F257" s="272">
        <v>58704.57</v>
      </c>
      <c r="G257" s="272">
        <v>304838.36</v>
      </c>
      <c r="H257" s="271"/>
    </row>
    <row r="258" spans="1:8">
      <c r="A258" s="271" t="s">
        <v>699</v>
      </c>
      <c r="B258" s="271" t="s">
        <v>700</v>
      </c>
      <c r="C258" s="271" t="s">
        <v>156</v>
      </c>
      <c r="D258" s="271" t="s">
        <v>157</v>
      </c>
      <c r="E258" s="271" t="s">
        <v>100</v>
      </c>
      <c r="F258" s="272">
        <v>0</v>
      </c>
      <c r="G258" s="272">
        <v>0</v>
      </c>
      <c r="H258" s="271"/>
    </row>
    <row r="259" spans="1:8">
      <c r="A259" s="271" t="s">
        <v>701</v>
      </c>
      <c r="B259" s="271" t="s">
        <v>702</v>
      </c>
      <c r="C259" s="271" t="s">
        <v>156</v>
      </c>
      <c r="D259" s="271" t="s">
        <v>162</v>
      </c>
      <c r="E259" s="271" t="s">
        <v>100</v>
      </c>
      <c r="F259" s="272">
        <v>0</v>
      </c>
      <c r="G259" s="272">
        <v>-30433.95</v>
      </c>
      <c r="H259" s="271"/>
    </row>
    <row r="260" spans="1:8">
      <c r="A260" s="271" t="s">
        <v>703</v>
      </c>
      <c r="B260" s="271" t="s">
        <v>704</v>
      </c>
      <c r="C260" s="271" t="s">
        <v>156</v>
      </c>
      <c r="D260" s="271" t="s">
        <v>162</v>
      </c>
      <c r="E260" s="271" t="s">
        <v>100</v>
      </c>
      <c r="F260" s="272">
        <v>0</v>
      </c>
      <c r="G260" s="272">
        <v>0</v>
      </c>
      <c r="H260" s="271"/>
    </row>
    <row r="261" spans="1:8">
      <c r="A261" s="271" t="s">
        <v>705</v>
      </c>
      <c r="B261" s="271" t="s">
        <v>664</v>
      </c>
      <c r="C261" s="271" t="s">
        <v>156</v>
      </c>
      <c r="D261" s="271" t="s">
        <v>162</v>
      </c>
      <c r="E261" s="271" t="s">
        <v>100</v>
      </c>
      <c r="F261" s="272">
        <v>0</v>
      </c>
      <c r="G261" s="272">
        <v>402.4</v>
      </c>
      <c r="H261" s="271"/>
    </row>
    <row r="262" spans="1:8">
      <c r="A262" s="271" t="s">
        <v>706</v>
      </c>
      <c r="B262" s="271" t="s">
        <v>707</v>
      </c>
      <c r="C262" s="271" t="s">
        <v>156</v>
      </c>
      <c r="D262" s="271" t="s">
        <v>162</v>
      </c>
      <c r="E262" s="271" t="s">
        <v>100</v>
      </c>
      <c r="F262" s="272">
        <v>0</v>
      </c>
      <c r="G262" s="272">
        <v>0</v>
      </c>
      <c r="H262" s="271"/>
    </row>
    <row r="263" spans="1:8">
      <c r="A263" s="271" t="s">
        <v>708</v>
      </c>
      <c r="B263" s="271" t="s">
        <v>709</v>
      </c>
      <c r="C263" s="271" t="s">
        <v>156</v>
      </c>
      <c r="D263" s="271" t="s">
        <v>162</v>
      </c>
      <c r="E263" s="271" t="s">
        <v>100</v>
      </c>
      <c r="F263" s="272">
        <v>0</v>
      </c>
      <c r="G263" s="272">
        <v>9130.23</v>
      </c>
      <c r="H263" s="271"/>
    </row>
    <row r="264" spans="1:8">
      <c r="A264" s="271" t="s">
        <v>710</v>
      </c>
      <c r="B264" s="271" t="s">
        <v>711</v>
      </c>
      <c r="C264" s="271" t="s">
        <v>156</v>
      </c>
      <c r="D264" s="271" t="s">
        <v>162</v>
      </c>
      <c r="E264" s="271" t="s">
        <v>100</v>
      </c>
      <c r="F264" s="272">
        <v>0</v>
      </c>
      <c r="G264" s="272">
        <v>0</v>
      </c>
      <c r="H264" s="271"/>
    </row>
    <row r="265" spans="1:8">
      <c r="A265" s="271" t="s">
        <v>712</v>
      </c>
      <c r="B265" s="271" t="s">
        <v>713</v>
      </c>
      <c r="C265" s="271" t="s">
        <v>156</v>
      </c>
      <c r="D265" s="271" t="s">
        <v>169</v>
      </c>
      <c r="E265" s="271" t="s">
        <v>714</v>
      </c>
      <c r="F265" s="272">
        <v>0</v>
      </c>
      <c r="G265" s="272">
        <v>-20901.32</v>
      </c>
      <c r="H265" s="271"/>
    </row>
    <row r="266" spans="1:8">
      <c r="A266" s="271" t="s">
        <v>715</v>
      </c>
      <c r="B266" s="271" t="s">
        <v>716</v>
      </c>
      <c r="C266" s="271" t="s">
        <v>156</v>
      </c>
      <c r="D266" s="271" t="s">
        <v>169</v>
      </c>
      <c r="E266" s="271" t="s">
        <v>717</v>
      </c>
      <c r="F266" s="272">
        <v>102776.73</v>
      </c>
      <c r="G266" s="272">
        <v>505400.89</v>
      </c>
      <c r="H266" s="271"/>
    </row>
    <row r="267" spans="1:8">
      <c r="A267" s="271" t="s">
        <v>718</v>
      </c>
      <c r="B267" s="271" t="s">
        <v>719</v>
      </c>
      <c r="C267" s="271" t="s">
        <v>156</v>
      </c>
      <c r="D267" s="271" t="s">
        <v>157</v>
      </c>
      <c r="E267" s="271" t="s">
        <v>100</v>
      </c>
      <c r="F267" s="272">
        <v>0</v>
      </c>
      <c r="G267" s="272">
        <v>0</v>
      </c>
      <c r="H267" s="271"/>
    </row>
    <row r="268" spans="1:8">
      <c r="A268" s="271" t="s">
        <v>720</v>
      </c>
      <c r="B268" s="271" t="s">
        <v>721</v>
      </c>
      <c r="C268" s="271" t="s">
        <v>156</v>
      </c>
      <c r="D268" s="271" t="s">
        <v>157</v>
      </c>
      <c r="E268" s="271" t="s">
        <v>100</v>
      </c>
      <c r="F268" s="272">
        <v>0</v>
      </c>
      <c r="G268" s="272">
        <v>0</v>
      </c>
      <c r="H268" s="271"/>
    </row>
    <row r="269" spans="1:8">
      <c r="A269" s="271" t="s">
        <v>722</v>
      </c>
      <c r="B269" s="271" t="s">
        <v>723</v>
      </c>
      <c r="C269" s="271" t="s">
        <v>156</v>
      </c>
      <c r="D269" s="271" t="s">
        <v>162</v>
      </c>
      <c r="E269" s="271" t="s">
        <v>100</v>
      </c>
      <c r="F269" s="272">
        <v>-69761.69</v>
      </c>
      <c r="G269" s="272">
        <v>-167558.26</v>
      </c>
      <c r="H269" s="271"/>
    </row>
    <row r="270" spans="1:8">
      <c r="A270" s="271" t="s">
        <v>724</v>
      </c>
      <c r="B270" s="271" t="s">
        <v>725</v>
      </c>
      <c r="C270" s="271" t="s">
        <v>156</v>
      </c>
      <c r="D270" s="271" t="s">
        <v>162</v>
      </c>
      <c r="E270" s="271" t="s">
        <v>100</v>
      </c>
      <c r="F270" s="272">
        <v>0</v>
      </c>
      <c r="G270" s="272">
        <v>0</v>
      </c>
      <c r="H270" s="271"/>
    </row>
    <row r="271" spans="1:8">
      <c r="A271" s="271" t="s">
        <v>726</v>
      </c>
      <c r="B271" s="271" t="s">
        <v>727</v>
      </c>
      <c r="C271" s="271" t="s">
        <v>156</v>
      </c>
      <c r="D271" s="271" t="s">
        <v>162</v>
      </c>
      <c r="E271" s="271" t="s">
        <v>100</v>
      </c>
      <c r="F271" s="272">
        <v>-9600</v>
      </c>
      <c r="G271" s="272">
        <v>-98420</v>
      </c>
      <c r="H271" s="271"/>
    </row>
    <row r="272" spans="1:8">
      <c r="A272" s="271" t="s">
        <v>728</v>
      </c>
      <c r="B272" s="271" t="s">
        <v>729</v>
      </c>
      <c r="C272" s="271" t="s">
        <v>156</v>
      </c>
      <c r="D272" s="271" t="s">
        <v>162</v>
      </c>
      <c r="E272" s="271" t="s">
        <v>100</v>
      </c>
      <c r="F272" s="272">
        <v>0</v>
      </c>
      <c r="G272" s="272">
        <v>201435</v>
      </c>
      <c r="H272" s="271"/>
    </row>
    <row r="273" spans="1:8">
      <c r="A273" s="271" t="s">
        <v>730</v>
      </c>
      <c r="B273" s="271" t="s">
        <v>731</v>
      </c>
      <c r="C273" s="271" t="s">
        <v>156</v>
      </c>
      <c r="D273" s="271" t="s">
        <v>162</v>
      </c>
      <c r="E273" s="271" t="s">
        <v>100</v>
      </c>
      <c r="F273" s="272">
        <v>0</v>
      </c>
      <c r="G273" s="272">
        <v>0</v>
      </c>
      <c r="H273" s="271"/>
    </row>
    <row r="274" spans="1:8">
      <c r="A274" s="271" t="s">
        <v>732</v>
      </c>
      <c r="B274" s="271" t="s">
        <v>733</v>
      </c>
      <c r="C274" s="271" t="s">
        <v>156</v>
      </c>
      <c r="D274" s="271" t="s">
        <v>162</v>
      </c>
      <c r="E274" s="271" t="s">
        <v>100</v>
      </c>
      <c r="F274" s="272">
        <v>0</v>
      </c>
      <c r="G274" s="272">
        <v>0</v>
      </c>
      <c r="H274" s="271"/>
    </row>
    <row r="275" spans="1:8">
      <c r="A275" s="271" t="s">
        <v>734</v>
      </c>
      <c r="B275" s="271" t="s">
        <v>735</v>
      </c>
      <c r="C275" s="271" t="s">
        <v>156</v>
      </c>
      <c r="D275" s="271" t="s">
        <v>162</v>
      </c>
      <c r="E275" s="271" t="s">
        <v>100</v>
      </c>
      <c r="F275" s="272">
        <v>0</v>
      </c>
      <c r="G275" s="272">
        <v>0</v>
      </c>
      <c r="H275" s="271"/>
    </row>
    <row r="276" spans="1:8">
      <c r="A276" s="271" t="s">
        <v>736</v>
      </c>
      <c r="B276" s="271" t="s">
        <v>737</v>
      </c>
      <c r="C276" s="271" t="s">
        <v>156</v>
      </c>
      <c r="D276" s="271" t="s">
        <v>162</v>
      </c>
      <c r="E276" s="271" t="s">
        <v>100</v>
      </c>
      <c r="F276" s="272">
        <v>2511.25</v>
      </c>
      <c r="G276" s="272">
        <v>7558.95</v>
      </c>
      <c r="H276" s="271"/>
    </row>
    <row r="277" spans="1:8">
      <c r="A277" s="271" t="s">
        <v>738</v>
      </c>
      <c r="B277" s="271" t="s">
        <v>739</v>
      </c>
      <c r="C277" s="271" t="s">
        <v>156</v>
      </c>
      <c r="D277" s="271" t="s">
        <v>162</v>
      </c>
      <c r="E277" s="271" t="s">
        <v>100</v>
      </c>
      <c r="F277" s="272">
        <v>0</v>
      </c>
      <c r="G277" s="272">
        <v>17881.2</v>
      </c>
      <c r="H277" s="271"/>
    </row>
    <row r="278" spans="1:8">
      <c r="A278" s="271" t="s">
        <v>740</v>
      </c>
      <c r="B278" s="271" t="s">
        <v>741</v>
      </c>
      <c r="C278" s="271" t="s">
        <v>156</v>
      </c>
      <c r="D278" s="271" t="s">
        <v>162</v>
      </c>
      <c r="E278" s="271" t="s">
        <v>100</v>
      </c>
      <c r="F278" s="272">
        <v>698.81</v>
      </c>
      <c r="G278" s="272">
        <v>9771.09</v>
      </c>
      <c r="H278" s="271"/>
    </row>
    <row r="279" spans="1:8">
      <c r="A279" s="271" t="s">
        <v>742</v>
      </c>
      <c r="B279" s="271" t="s">
        <v>743</v>
      </c>
      <c r="C279" s="271" t="s">
        <v>156</v>
      </c>
      <c r="D279" s="271" t="s">
        <v>162</v>
      </c>
      <c r="E279" s="271" t="s">
        <v>100</v>
      </c>
      <c r="F279" s="272">
        <v>0</v>
      </c>
      <c r="G279" s="272">
        <v>13727.5</v>
      </c>
      <c r="H279" s="271"/>
    </row>
    <row r="280" spans="1:8">
      <c r="A280" s="271" t="s">
        <v>744</v>
      </c>
      <c r="B280" s="271" t="s">
        <v>536</v>
      </c>
      <c r="C280" s="271" t="s">
        <v>156</v>
      </c>
      <c r="D280" s="271" t="s">
        <v>162</v>
      </c>
      <c r="E280" s="271" t="s">
        <v>100</v>
      </c>
      <c r="F280" s="272">
        <v>4471.1400000000003</v>
      </c>
      <c r="G280" s="272">
        <v>20648.82</v>
      </c>
      <c r="H280" s="271"/>
    </row>
    <row r="281" spans="1:8">
      <c r="A281" s="271" t="s">
        <v>745</v>
      </c>
      <c r="B281" s="271" t="s">
        <v>746</v>
      </c>
      <c r="C281" s="271" t="s">
        <v>156</v>
      </c>
      <c r="D281" s="271" t="s">
        <v>162</v>
      </c>
      <c r="E281" s="271" t="s">
        <v>100</v>
      </c>
      <c r="F281" s="272">
        <v>0</v>
      </c>
      <c r="G281" s="272">
        <v>18705.32</v>
      </c>
      <c r="H281" s="271"/>
    </row>
    <row r="282" spans="1:8">
      <c r="A282" s="271" t="s">
        <v>747</v>
      </c>
      <c r="B282" s="271" t="s">
        <v>748</v>
      </c>
      <c r="C282" s="271" t="s">
        <v>156</v>
      </c>
      <c r="D282" s="271" t="s">
        <v>162</v>
      </c>
      <c r="E282" s="271" t="s">
        <v>100</v>
      </c>
      <c r="F282" s="272">
        <v>0</v>
      </c>
      <c r="G282" s="272">
        <v>135250</v>
      </c>
      <c r="H282" s="271"/>
    </row>
    <row r="283" spans="1:8">
      <c r="A283" s="271" t="s">
        <v>749</v>
      </c>
      <c r="B283" s="271" t="s">
        <v>750</v>
      </c>
      <c r="C283" s="271" t="s">
        <v>156</v>
      </c>
      <c r="D283" s="271" t="s">
        <v>162</v>
      </c>
      <c r="E283" s="271" t="s">
        <v>100</v>
      </c>
      <c r="F283" s="272">
        <v>0</v>
      </c>
      <c r="G283" s="272">
        <v>72820</v>
      </c>
      <c r="H283" s="271"/>
    </row>
    <row r="284" spans="1:8">
      <c r="A284" s="271" t="s">
        <v>751</v>
      </c>
      <c r="B284" s="271" t="s">
        <v>752</v>
      </c>
      <c r="C284" s="271" t="s">
        <v>156</v>
      </c>
      <c r="D284" s="271" t="s">
        <v>162</v>
      </c>
      <c r="E284" s="271" t="s">
        <v>100</v>
      </c>
      <c r="F284" s="272">
        <v>28490.06</v>
      </c>
      <c r="G284" s="272">
        <v>59481.73</v>
      </c>
      <c r="H284" s="271"/>
    </row>
    <row r="285" spans="1:8">
      <c r="A285" s="271" t="s">
        <v>753</v>
      </c>
      <c r="B285" s="271" t="s">
        <v>220</v>
      </c>
      <c r="C285" s="271" t="s">
        <v>156</v>
      </c>
      <c r="D285" s="271" t="s">
        <v>162</v>
      </c>
      <c r="E285" s="271" t="s">
        <v>100</v>
      </c>
      <c r="F285" s="272">
        <v>0</v>
      </c>
      <c r="G285" s="272">
        <v>20170.900000000001</v>
      </c>
      <c r="H285" s="271"/>
    </row>
    <row r="286" spans="1:8">
      <c r="A286" s="271" t="s">
        <v>754</v>
      </c>
      <c r="B286" s="271" t="s">
        <v>755</v>
      </c>
      <c r="C286" s="271" t="s">
        <v>156</v>
      </c>
      <c r="D286" s="271" t="s">
        <v>162</v>
      </c>
      <c r="E286" s="271" t="s">
        <v>100</v>
      </c>
      <c r="F286" s="272">
        <v>0</v>
      </c>
      <c r="G286" s="272">
        <v>236.86</v>
      </c>
      <c r="H286" s="271"/>
    </row>
    <row r="287" spans="1:8">
      <c r="A287" s="271" t="s">
        <v>756</v>
      </c>
      <c r="B287" s="271" t="s">
        <v>757</v>
      </c>
      <c r="C287" s="271" t="s">
        <v>156</v>
      </c>
      <c r="D287" s="271" t="s">
        <v>162</v>
      </c>
      <c r="E287" s="271" t="s">
        <v>100</v>
      </c>
      <c r="F287" s="272">
        <v>0</v>
      </c>
      <c r="G287" s="272">
        <v>0</v>
      </c>
      <c r="H287" s="271"/>
    </row>
    <row r="288" spans="1:8">
      <c r="A288" s="271" t="s">
        <v>758</v>
      </c>
      <c r="B288" s="271" t="s">
        <v>759</v>
      </c>
      <c r="C288" s="271" t="s">
        <v>156</v>
      </c>
      <c r="D288" s="271" t="s">
        <v>169</v>
      </c>
      <c r="E288" s="271" t="s">
        <v>760</v>
      </c>
      <c r="F288" s="272">
        <v>-43190.43</v>
      </c>
      <c r="G288" s="272">
        <v>311709.11</v>
      </c>
      <c r="H288" s="271"/>
    </row>
    <row r="289" spans="1:8">
      <c r="A289" s="271" t="s">
        <v>761</v>
      </c>
      <c r="B289" s="271" t="s">
        <v>762</v>
      </c>
      <c r="C289" s="271" t="s">
        <v>156</v>
      </c>
      <c r="D289" s="271" t="s">
        <v>157</v>
      </c>
      <c r="E289" s="271" t="s">
        <v>100</v>
      </c>
      <c r="F289" s="272">
        <v>0</v>
      </c>
      <c r="G289" s="272">
        <v>0</v>
      </c>
      <c r="H289" s="271"/>
    </row>
    <row r="290" spans="1:8">
      <c r="A290" s="271" t="s">
        <v>763</v>
      </c>
      <c r="B290" s="271" t="s">
        <v>764</v>
      </c>
      <c r="C290" s="271" t="s">
        <v>156</v>
      </c>
      <c r="D290" s="271" t="s">
        <v>162</v>
      </c>
      <c r="E290" s="271" t="s">
        <v>100</v>
      </c>
      <c r="F290" s="272">
        <v>284252.26</v>
      </c>
      <c r="G290" s="272">
        <v>560198.61</v>
      </c>
      <c r="H290" s="271"/>
    </row>
    <row r="291" spans="1:8">
      <c r="A291" s="271" t="s">
        <v>765</v>
      </c>
      <c r="B291" s="271" t="s">
        <v>766</v>
      </c>
      <c r="C291" s="271" t="s">
        <v>156</v>
      </c>
      <c r="D291" s="271" t="s">
        <v>162</v>
      </c>
      <c r="E291" s="271" t="s">
        <v>100</v>
      </c>
      <c r="F291" s="272">
        <v>0</v>
      </c>
      <c r="G291" s="272">
        <v>0</v>
      </c>
      <c r="H291" s="271"/>
    </row>
    <row r="292" spans="1:8">
      <c r="A292" s="271" t="s">
        <v>767</v>
      </c>
      <c r="B292" s="271" t="s">
        <v>768</v>
      </c>
      <c r="C292" s="271" t="s">
        <v>156</v>
      </c>
      <c r="D292" s="271" t="s">
        <v>162</v>
      </c>
      <c r="E292" s="271" t="s">
        <v>100</v>
      </c>
      <c r="F292" s="272">
        <v>137311.07</v>
      </c>
      <c r="G292" s="272">
        <v>244376.3</v>
      </c>
      <c r="H292" s="271"/>
    </row>
    <row r="293" spans="1:8">
      <c r="A293" s="271" t="s">
        <v>769</v>
      </c>
      <c r="B293" s="271" t="s">
        <v>770</v>
      </c>
      <c r="C293" s="271" t="s">
        <v>156</v>
      </c>
      <c r="D293" s="271" t="s">
        <v>162</v>
      </c>
      <c r="E293" s="271" t="s">
        <v>100</v>
      </c>
      <c r="F293" s="272">
        <v>0</v>
      </c>
      <c r="G293" s="272">
        <v>4553.6499999999996</v>
      </c>
      <c r="H293" s="271"/>
    </row>
    <row r="294" spans="1:8">
      <c r="A294" s="271" t="s">
        <v>771</v>
      </c>
      <c r="B294" s="271" t="s">
        <v>772</v>
      </c>
      <c r="C294" s="271" t="s">
        <v>156</v>
      </c>
      <c r="D294" s="271" t="s">
        <v>162</v>
      </c>
      <c r="E294" s="271" t="s">
        <v>100</v>
      </c>
      <c r="F294" s="272">
        <v>789.98</v>
      </c>
      <c r="G294" s="272">
        <v>7172.6</v>
      </c>
      <c r="H294" s="271"/>
    </row>
    <row r="295" spans="1:8">
      <c r="A295" s="271" t="s">
        <v>773</v>
      </c>
      <c r="B295" s="271" t="s">
        <v>774</v>
      </c>
      <c r="C295" s="271" t="s">
        <v>156</v>
      </c>
      <c r="D295" s="271" t="s">
        <v>162</v>
      </c>
      <c r="E295" s="271" t="s">
        <v>100</v>
      </c>
      <c r="F295" s="272">
        <v>1083.22</v>
      </c>
      <c r="G295" s="272">
        <v>-26933.22</v>
      </c>
      <c r="H295" s="271"/>
    </row>
    <row r="296" spans="1:8">
      <c r="A296" s="271" t="s">
        <v>775</v>
      </c>
      <c r="B296" s="271" t="s">
        <v>776</v>
      </c>
      <c r="C296" s="271" t="s">
        <v>156</v>
      </c>
      <c r="D296" s="271" t="s">
        <v>169</v>
      </c>
      <c r="E296" s="271" t="s">
        <v>777</v>
      </c>
      <c r="F296" s="272">
        <v>423436.53</v>
      </c>
      <c r="G296" s="272">
        <v>789367.94</v>
      </c>
      <c r="H296" s="271"/>
    </row>
    <row r="297" spans="1:8">
      <c r="A297" s="271" t="s">
        <v>778</v>
      </c>
      <c r="B297" s="271" t="s">
        <v>779</v>
      </c>
      <c r="C297" s="271" t="s">
        <v>156</v>
      </c>
      <c r="D297" s="271" t="s">
        <v>157</v>
      </c>
      <c r="E297" s="271" t="s">
        <v>100</v>
      </c>
      <c r="F297" s="272">
        <v>0</v>
      </c>
      <c r="G297" s="272">
        <v>0</v>
      </c>
      <c r="H297" s="271"/>
    </row>
    <row r="298" spans="1:8">
      <c r="A298" s="271" t="s">
        <v>780</v>
      </c>
      <c r="B298" s="271" t="s">
        <v>781</v>
      </c>
      <c r="C298" s="271" t="s">
        <v>156</v>
      </c>
      <c r="D298" s="271" t="s">
        <v>162</v>
      </c>
      <c r="E298" s="271" t="s">
        <v>100</v>
      </c>
      <c r="F298" s="272">
        <v>80440</v>
      </c>
      <c r="G298" s="272">
        <v>218594.5</v>
      </c>
      <c r="H298" s="271"/>
    </row>
    <row r="299" spans="1:8">
      <c r="A299" s="271" t="s">
        <v>782</v>
      </c>
      <c r="B299" s="271" t="s">
        <v>446</v>
      </c>
      <c r="C299" s="271" t="s">
        <v>156</v>
      </c>
      <c r="D299" s="271" t="s">
        <v>162</v>
      </c>
      <c r="E299" s="271" t="s">
        <v>100</v>
      </c>
      <c r="F299" s="272">
        <v>0</v>
      </c>
      <c r="G299" s="272">
        <v>69002.23</v>
      </c>
      <c r="H299" s="271"/>
    </row>
    <row r="300" spans="1:8">
      <c r="A300" s="271" t="s">
        <v>783</v>
      </c>
      <c r="B300" s="271" t="s">
        <v>784</v>
      </c>
      <c r="C300" s="271" t="s">
        <v>156</v>
      </c>
      <c r="D300" s="271" t="s">
        <v>162</v>
      </c>
      <c r="E300" s="271" t="s">
        <v>100</v>
      </c>
      <c r="F300" s="272">
        <v>0</v>
      </c>
      <c r="G300" s="272">
        <v>0</v>
      </c>
      <c r="H300" s="271"/>
    </row>
    <row r="301" spans="1:8">
      <c r="A301" s="271" t="s">
        <v>785</v>
      </c>
      <c r="B301" s="271" t="s">
        <v>786</v>
      </c>
      <c r="C301" s="271" t="s">
        <v>156</v>
      </c>
      <c r="D301" s="271" t="s">
        <v>169</v>
      </c>
      <c r="E301" s="271" t="s">
        <v>787</v>
      </c>
      <c r="F301" s="272">
        <v>80440</v>
      </c>
      <c r="G301" s="272">
        <v>287596.73</v>
      </c>
      <c r="H301" s="271"/>
    </row>
    <row r="302" spans="1:8">
      <c r="A302" s="271" t="s">
        <v>788</v>
      </c>
      <c r="B302" s="271" t="s">
        <v>789</v>
      </c>
      <c r="C302" s="271" t="s">
        <v>156</v>
      </c>
      <c r="D302" s="271" t="s">
        <v>157</v>
      </c>
      <c r="E302" s="271" t="s">
        <v>100</v>
      </c>
      <c r="F302" s="272">
        <v>0</v>
      </c>
      <c r="G302" s="272">
        <v>0</v>
      </c>
      <c r="H302" s="271"/>
    </row>
    <row r="303" spans="1:8">
      <c r="A303" s="271" t="s">
        <v>790</v>
      </c>
      <c r="B303" s="271" t="s">
        <v>733</v>
      </c>
      <c r="C303" s="271" t="s">
        <v>156</v>
      </c>
      <c r="D303" s="271" t="s">
        <v>157</v>
      </c>
      <c r="E303" s="271" t="s">
        <v>100</v>
      </c>
      <c r="F303" s="272">
        <v>0</v>
      </c>
      <c r="G303" s="272">
        <v>0</v>
      </c>
      <c r="H303" s="271"/>
    </row>
    <row r="304" spans="1:8">
      <c r="A304" s="271" t="s">
        <v>791</v>
      </c>
      <c r="B304" s="271" t="s">
        <v>792</v>
      </c>
      <c r="C304" s="271" t="s">
        <v>156</v>
      </c>
      <c r="D304" s="271" t="s">
        <v>162</v>
      </c>
      <c r="E304" s="271" t="s">
        <v>100</v>
      </c>
      <c r="F304" s="272">
        <v>0</v>
      </c>
      <c r="G304" s="272">
        <v>7912.79</v>
      </c>
      <c r="H304" s="271"/>
    </row>
    <row r="305" spans="1:8">
      <c r="A305" s="271" t="s">
        <v>793</v>
      </c>
      <c r="B305" s="271" t="s">
        <v>794</v>
      </c>
      <c r="C305" s="271" t="s">
        <v>156</v>
      </c>
      <c r="D305" s="271" t="s">
        <v>162</v>
      </c>
      <c r="E305" s="271" t="s">
        <v>100</v>
      </c>
      <c r="F305" s="272">
        <v>69131.13</v>
      </c>
      <c r="G305" s="272">
        <v>173597.55</v>
      </c>
      <c r="H305" s="271"/>
    </row>
    <row r="306" spans="1:8">
      <c r="A306" s="271" t="s">
        <v>795</v>
      </c>
      <c r="B306" s="271" t="s">
        <v>796</v>
      </c>
      <c r="C306" s="271" t="s">
        <v>156</v>
      </c>
      <c r="D306" s="271" t="s">
        <v>162</v>
      </c>
      <c r="E306" s="271" t="s">
        <v>100</v>
      </c>
      <c r="F306" s="272">
        <v>7511.56</v>
      </c>
      <c r="G306" s="272">
        <v>232178.14</v>
      </c>
      <c r="H306" s="271"/>
    </row>
    <row r="307" spans="1:8">
      <c r="A307" s="271" t="s">
        <v>797</v>
      </c>
      <c r="B307" s="271" t="s">
        <v>798</v>
      </c>
      <c r="C307" s="271" t="s">
        <v>156</v>
      </c>
      <c r="D307" s="271" t="s">
        <v>162</v>
      </c>
      <c r="E307" s="271" t="s">
        <v>100</v>
      </c>
      <c r="F307" s="272">
        <v>5445.45</v>
      </c>
      <c r="G307" s="272">
        <v>5445.45</v>
      </c>
      <c r="H307" s="271"/>
    </row>
    <row r="308" spans="1:8">
      <c r="A308" s="271" t="s">
        <v>799</v>
      </c>
      <c r="B308" s="271" t="s">
        <v>800</v>
      </c>
      <c r="C308" s="271" t="s">
        <v>156</v>
      </c>
      <c r="D308" s="271" t="s">
        <v>162</v>
      </c>
      <c r="E308" s="271" t="s">
        <v>100</v>
      </c>
      <c r="F308" s="272">
        <v>10882.85</v>
      </c>
      <c r="G308" s="272">
        <v>140529.9</v>
      </c>
      <c r="H308" s="271"/>
    </row>
    <row r="309" spans="1:8">
      <c r="A309" s="271" t="s">
        <v>801</v>
      </c>
      <c r="B309" s="271" t="s">
        <v>802</v>
      </c>
      <c r="C309" s="271" t="s">
        <v>156</v>
      </c>
      <c r="D309" s="271" t="s">
        <v>162</v>
      </c>
      <c r="E309" s="271" t="s">
        <v>100</v>
      </c>
      <c r="F309" s="272">
        <v>62742.71</v>
      </c>
      <c r="G309" s="272">
        <v>215082.22</v>
      </c>
      <c r="H309" s="271"/>
    </row>
    <row r="310" spans="1:8">
      <c r="A310" s="271" t="s">
        <v>803</v>
      </c>
      <c r="B310" s="271" t="s">
        <v>804</v>
      </c>
      <c r="C310" s="271" t="s">
        <v>156</v>
      </c>
      <c r="D310" s="271" t="s">
        <v>162</v>
      </c>
      <c r="E310" s="271" t="s">
        <v>100</v>
      </c>
      <c r="F310" s="272">
        <v>95708.66</v>
      </c>
      <c r="G310" s="272">
        <v>538998.41</v>
      </c>
      <c r="H310" s="271"/>
    </row>
    <row r="311" spans="1:8">
      <c r="A311" s="271" t="s">
        <v>805</v>
      </c>
      <c r="B311" s="271" t="s">
        <v>806</v>
      </c>
      <c r="C311" s="271" t="s">
        <v>156</v>
      </c>
      <c r="D311" s="271" t="s">
        <v>169</v>
      </c>
      <c r="E311" s="271" t="s">
        <v>807</v>
      </c>
      <c r="F311" s="272">
        <v>251422.36</v>
      </c>
      <c r="G311" s="272">
        <v>1313744.46</v>
      </c>
      <c r="H311" s="271"/>
    </row>
    <row r="312" spans="1:8">
      <c r="A312" s="271" t="s">
        <v>808</v>
      </c>
      <c r="B312" s="271" t="s">
        <v>735</v>
      </c>
      <c r="C312" s="271" t="s">
        <v>156</v>
      </c>
      <c r="D312" s="271" t="s">
        <v>157</v>
      </c>
      <c r="E312" s="271" t="s">
        <v>100</v>
      </c>
      <c r="F312" s="272">
        <v>0</v>
      </c>
      <c r="G312" s="272">
        <v>0</v>
      </c>
      <c r="H312" s="271"/>
    </row>
    <row r="313" spans="1:8">
      <c r="A313" s="271" t="s">
        <v>809</v>
      </c>
      <c r="B313" s="271" t="s">
        <v>735</v>
      </c>
      <c r="C313" s="271" t="s">
        <v>156</v>
      </c>
      <c r="D313" s="271" t="s">
        <v>162</v>
      </c>
      <c r="E313" s="271" t="s">
        <v>100</v>
      </c>
      <c r="F313" s="272">
        <v>0</v>
      </c>
      <c r="G313" s="272">
        <v>75000</v>
      </c>
      <c r="H313" s="271"/>
    </row>
    <row r="314" spans="1:8">
      <c r="A314" s="271" t="s">
        <v>810</v>
      </c>
      <c r="B314" s="271" t="s">
        <v>811</v>
      </c>
      <c r="C314" s="271" t="s">
        <v>156</v>
      </c>
      <c r="D314" s="271" t="s">
        <v>169</v>
      </c>
      <c r="E314" s="271" t="s">
        <v>812</v>
      </c>
      <c r="F314" s="272">
        <v>0</v>
      </c>
      <c r="G314" s="272">
        <v>75000</v>
      </c>
      <c r="H314" s="271"/>
    </row>
    <row r="315" spans="1:8">
      <c r="A315" s="271" t="s">
        <v>813</v>
      </c>
      <c r="B315" s="271" t="s">
        <v>814</v>
      </c>
      <c r="C315" s="271" t="s">
        <v>156</v>
      </c>
      <c r="D315" s="271" t="s">
        <v>169</v>
      </c>
      <c r="E315" s="271" t="s">
        <v>815</v>
      </c>
      <c r="F315" s="272">
        <v>251422.36</v>
      </c>
      <c r="G315" s="272">
        <v>1388744.46</v>
      </c>
      <c r="H315" s="271"/>
    </row>
    <row r="316" spans="1:8">
      <c r="A316" s="271" t="s">
        <v>816</v>
      </c>
      <c r="B316" s="271" t="s">
        <v>817</v>
      </c>
      <c r="C316" s="271" t="s">
        <v>156</v>
      </c>
      <c r="D316" s="271" t="s">
        <v>157</v>
      </c>
      <c r="E316" s="271" t="s">
        <v>100</v>
      </c>
      <c r="F316" s="272">
        <v>0</v>
      </c>
      <c r="G316" s="272">
        <v>0</v>
      </c>
      <c r="H316" s="271"/>
    </row>
    <row r="317" spans="1:8">
      <c r="A317" s="271" t="s">
        <v>818</v>
      </c>
      <c r="B317" s="271" t="s">
        <v>819</v>
      </c>
      <c r="C317" s="271" t="s">
        <v>156</v>
      </c>
      <c r="D317" s="271" t="s">
        <v>162</v>
      </c>
      <c r="E317" s="271" t="s">
        <v>100</v>
      </c>
      <c r="F317" s="272">
        <v>0</v>
      </c>
      <c r="G317" s="272">
        <v>37500</v>
      </c>
      <c r="H317" s="271"/>
    </row>
    <row r="318" spans="1:8">
      <c r="A318" s="271" t="s">
        <v>820</v>
      </c>
      <c r="B318" s="271" t="s">
        <v>821</v>
      </c>
      <c r="C318" s="271" t="s">
        <v>156</v>
      </c>
      <c r="D318" s="271" t="s">
        <v>169</v>
      </c>
      <c r="E318" s="271" t="s">
        <v>822</v>
      </c>
      <c r="F318" s="272">
        <v>0</v>
      </c>
      <c r="G318" s="272">
        <v>37500</v>
      </c>
      <c r="H318" s="271"/>
    </row>
    <row r="319" spans="1:8">
      <c r="A319" s="271" t="s">
        <v>823</v>
      </c>
      <c r="B319" s="271" t="s">
        <v>824</v>
      </c>
      <c r="C319" s="271" t="s">
        <v>156</v>
      </c>
      <c r="D319" s="271" t="s">
        <v>157</v>
      </c>
      <c r="E319" s="271" t="s">
        <v>100</v>
      </c>
      <c r="F319" s="272">
        <v>0</v>
      </c>
      <c r="G319" s="272">
        <v>0</v>
      </c>
      <c r="H319" s="271"/>
    </row>
    <row r="320" spans="1:8">
      <c r="A320" s="271" t="s">
        <v>825</v>
      </c>
      <c r="B320" s="271" t="s">
        <v>826</v>
      </c>
      <c r="C320" s="271" t="s">
        <v>156</v>
      </c>
      <c r="D320" s="271" t="s">
        <v>162</v>
      </c>
      <c r="E320" s="271" t="s">
        <v>100</v>
      </c>
      <c r="F320" s="272">
        <v>0</v>
      </c>
      <c r="G320" s="272">
        <v>15104.94</v>
      </c>
      <c r="H320" s="271"/>
    </row>
    <row r="321" spans="1:8">
      <c r="A321" s="271" t="s">
        <v>827</v>
      </c>
      <c r="B321" s="271" t="s">
        <v>828</v>
      </c>
      <c r="C321" s="271" t="s">
        <v>156</v>
      </c>
      <c r="D321" s="271" t="s">
        <v>169</v>
      </c>
      <c r="E321" s="271" t="s">
        <v>829</v>
      </c>
      <c r="F321" s="272">
        <v>0</v>
      </c>
      <c r="G321" s="272">
        <v>15104.94</v>
      </c>
      <c r="H321" s="271"/>
    </row>
    <row r="322" spans="1:8">
      <c r="A322" s="271" t="s">
        <v>830</v>
      </c>
      <c r="B322" s="271" t="s">
        <v>831</v>
      </c>
      <c r="C322" s="271" t="s">
        <v>156</v>
      </c>
      <c r="D322" s="271" t="s">
        <v>169</v>
      </c>
      <c r="E322" s="271" t="s">
        <v>832</v>
      </c>
      <c r="F322" s="272">
        <v>712108.46</v>
      </c>
      <c r="G322" s="272">
        <v>2830023.18</v>
      </c>
      <c r="H322" s="271"/>
    </row>
    <row r="323" spans="1:8">
      <c r="A323" s="271" t="s">
        <v>833</v>
      </c>
      <c r="B323" s="271" t="s">
        <v>97</v>
      </c>
      <c r="C323" s="271" t="s">
        <v>156</v>
      </c>
      <c r="D323" s="271" t="s">
        <v>157</v>
      </c>
      <c r="E323" s="271" t="s">
        <v>100</v>
      </c>
      <c r="F323" s="272">
        <v>0</v>
      </c>
      <c r="G323" s="272">
        <v>0</v>
      </c>
      <c r="H323" s="271"/>
    </row>
    <row r="324" spans="1:8">
      <c r="A324" s="271" t="s">
        <v>834</v>
      </c>
      <c r="B324" s="271" t="s">
        <v>835</v>
      </c>
      <c r="C324" s="271" t="s">
        <v>156</v>
      </c>
      <c r="D324" s="271" t="s">
        <v>162</v>
      </c>
      <c r="E324" s="271" t="s">
        <v>100</v>
      </c>
      <c r="F324" s="272">
        <v>100</v>
      </c>
      <c r="G324" s="272">
        <v>355.76</v>
      </c>
      <c r="H324" s="271"/>
    </row>
    <row r="325" spans="1:8">
      <c r="A325" s="271" t="s">
        <v>836</v>
      </c>
      <c r="B325" s="271" t="s">
        <v>837</v>
      </c>
      <c r="C325" s="271" t="s">
        <v>156</v>
      </c>
      <c r="D325" s="271" t="s">
        <v>162</v>
      </c>
      <c r="E325" s="271" t="s">
        <v>100</v>
      </c>
      <c r="F325" s="272">
        <v>5762.48</v>
      </c>
      <c r="G325" s="272">
        <v>29451.41</v>
      </c>
      <c r="H325" s="271"/>
    </row>
    <row r="326" spans="1:8">
      <c r="A326" s="271" t="s">
        <v>838</v>
      </c>
      <c r="B326" s="271" t="s">
        <v>839</v>
      </c>
      <c r="C326" s="271" t="s">
        <v>156</v>
      </c>
      <c r="D326" s="271" t="s">
        <v>169</v>
      </c>
      <c r="E326" s="271" t="s">
        <v>840</v>
      </c>
      <c r="F326" s="272">
        <v>5862.48</v>
      </c>
      <c r="G326" s="272">
        <v>29807.17</v>
      </c>
      <c r="H326" s="271"/>
    </row>
    <row r="327" spans="1:8">
      <c r="A327" s="271" t="s">
        <v>841</v>
      </c>
      <c r="B327" s="271" t="s">
        <v>842</v>
      </c>
      <c r="C327" s="271" t="s">
        <v>156</v>
      </c>
      <c r="D327" s="271" t="s">
        <v>169</v>
      </c>
      <c r="E327" s="271" t="s">
        <v>843</v>
      </c>
      <c r="F327" s="272">
        <v>4983800.8499999996</v>
      </c>
      <c r="G327" s="272">
        <v>22674085.609999999</v>
      </c>
      <c r="H327" s="271"/>
    </row>
    <row r="328" spans="1:8">
      <c r="A328" s="271" t="s">
        <v>844</v>
      </c>
      <c r="B328" s="271" t="s">
        <v>845</v>
      </c>
      <c r="C328" s="271" t="s">
        <v>156</v>
      </c>
      <c r="D328" s="271" t="s">
        <v>157</v>
      </c>
      <c r="E328" s="271" t="s">
        <v>100</v>
      </c>
      <c r="F328" s="272">
        <v>0</v>
      </c>
      <c r="G328" s="272">
        <v>0</v>
      </c>
      <c r="H328" s="271"/>
    </row>
    <row r="329" spans="1:8">
      <c r="A329" s="271" t="s">
        <v>846</v>
      </c>
      <c r="B329" s="271" t="s">
        <v>847</v>
      </c>
      <c r="C329" s="271" t="s">
        <v>156</v>
      </c>
      <c r="D329" s="271" t="s">
        <v>162</v>
      </c>
      <c r="E329" s="271" t="s">
        <v>100</v>
      </c>
      <c r="F329" s="272">
        <v>121749.85</v>
      </c>
      <c r="G329" s="272">
        <v>2060344.6</v>
      </c>
      <c r="H329" s="271"/>
    </row>
    <row r="330" spans="1:8">
      <c r="A330" s="271" t="s">
        <v>848</v>
      </c>
      <c r="B330" s="271" t="s">
        <v>849</v>
      </c>
      <c r="C330" s="271" t="s">
        <v>156</v>
      </c>
      <c r="D330" s="271" t="s">
        <v>162</v>
      </c>
      <c r="E330" s="271" t="s">
        <v>100</v>
      </c>
      <c r="F330" s="272">
        <v>0</v>
      </c>
      <c r="G330" s="272">
        <v>0</v>
      </c>
      <c r="H330" s="271"/>
    </row>
    <row r="331" spans="1:8">
      <c r="A331" s="271" t="s">
        <v>850</v>
      </c>
      <c r="B331" s="271" t="s">
        <v>851</v>
      </c>
      <c r="C331" s="271" t="s">
        <v>156</v>
      </c>
      <c r="D331" s="271" t="s">
        <v>169</v>
      </c>
      <c r="E331" s="271" t="s">
        <v>852</v>
      </c>
      <c r="F331" s="272">
        <v>121749.85</v>
      </c>
      <c r="G331" s="272">
        <v>2060344.6</v>
      </c>
      <c r="H331" s="271"/>
    </row>
    <row r="332" spans="1:8">
      <c r="A332" s="271" t="s">
        <v>853</v>
      </c>
      <c r="B332" s="271" t="s">
        <v>854</v>
      </c>
      <c r="C332" s="271" t="s">
        <v>156</v>
      </c>
      <c r="D332" s="271" t="s">
        <v>157</v>
      </c>
      <c r="E332" s="271" t="s">
        <v>100</v>
      </c>
      <c r="F332" s="272">
        <v>0</v>
      </c>
      <c r="G332" s="272">
        <v>0</v>
      </c>
      <c r="H332" s="271"/>
    </row>
    <row r="333" spans="1:8">
      <c r="A333" s="271" t="s">
        <v>855</v>
      </c>
      <c r="B333" s="271" t="s">
        <v>856</v>
      </c>
      <c r="C333" s="271" t="s">
        <v>156</v>
      </c>
      <c r="D333" s="271" t="s">
        <v>162</v>
      </c>
      <c r="E333" s="271" t="s">
        <v>100</v>
      </c>
      <c r="F333" s="272">
        <v>0</v>
      </c>
      <c r="G333" s="272">
        <v>0</v>
      </c>
      <c r="H333" s="271"/>
    </row>
    <row r="334" spans="1:8">
      <c r="A334" s="271" t="s">
        <v>857</v>
      </c>
      <c r="B334" s="271" t="s">
        <v>858</v>
      </c>
      <c r="C334" s="271" t="s">
        <v>156</v>
      </c>
      <c r="D334" s="271" t="s">
        <v>162</v>
      </c>
      <c r="E334" s="271" t="s">
        <v>100</v>
      </c>
      <c r="F334" s="272">
        <v>4726.25</v>
      </c>
      <c r="G334" s="272">
        <v>4726.25</v>
      </c>
      <c r="H334" s="271"/>
    </row>
    <row r="335" spans="1:8">
      <c r="A335" s="271" t="s">
        <v>859</v>
      </c>
      <c r="B335" s="271" t="s">
        <v>860</v>
      </c>
      <c r="C335" s="271" t="s">
        <v>156</v>
      </c>
      <c r="D335" s="271" t="s">
        <v>162</v>
      </c>
      <c r="E335" s="271" t="s">
        <v>100</v>
      </c>
      <c r="F335" s="272">
        <v>0</v>
      </c>
      <c r="G335" s="272">
        <v>0</v>
      </c>
      <c r="H335" s="271"/>
    </row>
    <row r="336" spans="1:8">
      <c r="A336" s="271" t="s">
        <v>861</v>
      </c>
      <c r="B336" s="271" t="s">
        <v>862</v>
      </c>
      <c r="C336" s="271" t="s">
        <v>156</v>
      </c>
      <c r="D336" s="271" t="s">
        <v>598</v>
      </c>
      <c r="E336" s="271" t="s">
        <v>863</v>
      </c>
      <c r="F336" s="272">
        <v>126476.1</v>
      </c>
      <c r="G336" s="272">
        <v>2065070.85</v>
      </c>
      <c r="H336" s="271"/>
    </row>
    <row r="337" spans="1:8">
      <c r="A337" s="271" t="s">
        <v>864</v>
      </c>
      <c r="B337" s="271" t="s">
        <v>865</v>
      </c>
      <c r="C337" s="271" t="s">
        <v>156</v>
      </c>
      <c r="D337" s="271" t="s">
        <v>598</v>
      </c>
      <c r="E337" s="271" t="s">
        <v>866</v>
      </c>
      <c r="F337" s="272">
        <v>5110276.95</v>
      </c>
      <c r="G337" s="272">
        <v>24739156.460000001</v>
      </c>
      <c r="H337" s="271"/>
    </row>
    <row r="338" spans="1:8">
      <c r="A338" s="271" t="s">
        <v>867</v>
      </c>
      <c r="B338" s="271" t="s">
        <v>868</v>
      </c>
      <c r="C338" s="271" t="s">
        <v>156</v>
      </c>
      <c r="D338" s="271" t="s">
        <v>598</v>
      </c>
      <c r="E338" s="271" t="s">
        <v>869</v>
      </c>
      <c r="F338" s="272">
        <v>2928323.32</v>
      </c>
      <c r="G338" s="272">
        <v>4584712.3600000003</v>
      </c>
      <c r="H338" s="271"/>
    </row>
    <row r="339" spans="1:8">
      <c r="A339" s="271" t="s">
        <v>870</v>
      </c>
      <c r="B339" s="271" t="s">
        <v>871</v>
      </c>
      <c r="C339" s="271" t="s">
        <v>872</v>
      </c>
      <c r="D339" s="271" t="s">
        <v>157</v>
      </c>
      <c r="E339" s="271" t="s">
        <v>100</v>
      </c>
      <c r="F339" s="272">
        <v>0</v>
      </c>
      <c r="G339" s="272">
        <v>0</v>
      </c>
      <c r="H339" s="271"/>
    </row>
    <row r="340" spans="1:8">
      <c r="A340" s="271" t="s">
        <v>873</v>
      </c>
      <c r="B340" s="271" t="s">
        <v>874</v>
      </c>
      <c r="C340" s="271" t="s">
        <v>872</v>
      </c>
      <c r="D340" s="271" t="s">
        <v>157</v>
      </c>
      <c r="E340" s="271" t="s">
        <v>100</v>
      </c>
      <c r="F340" s="272">
        <v>0</v>
      </c>
      <c r="G340" s="272">
        <v>0</v>
      </c>
      <c r="H340" s="271"/>
    </row>
    <row r="341" spans="1:8">
      <c r="A341" s="271" t="s">
        <v>875</v>
      </c>
      <c r="B341" s="271" t="s">
        <v>876</v>
      </c>
      <c r="C341" s="271" t="s">
        <v>872</v>
      </c>
      <c r="D341" s="271" t="s">
        <v>157</v>
      </c>
      <c r="E341" s="271" t="s">
        <v>100</v>
      </c>
      <c r="F341" s="272">
        <v>0</v>
      </c>
      <c r="G341" s="272">
        <v>0</v>
      </c>
      <c r="H341" s="271"/>
    </row>
    <row r="342" spans="1:8">
      <c r="A342" s="271" t="s">
        <v>877</v>
      </c>
      <c r="B342" s="271" t="s">
        <v>878</v>
      </c>
      <c r="C342" s="271" t="s">
        <v>872</v>
      </c>
      <c r="D342" s="271" t="s">
        <v>162</v>
      </c>
      <c r="E342" s="271" t="s">
        <v>100</v>
      </c>
      <c r="F342" s="272">
        <v>0</v>
      </c>
      <c r="G342" s="272">
        <v>28500000</v>
      </c>
      <c r="H342" s="271"/>
    </row>
    <row r="343" spans="1:8">
      <c r="A343" s="271" t="s">
        <v>879</v>
      </c>
      <c r="B343" s="271" t="s">
        <v>880</v>
      </c>
      <c r="C343" s="271" t="s">
        <v>872</v>
      </c>
      <c r="D343" s="271" t="s">
        <v>162</v>
      </c>
      <c r="E343" s="271" t="s">
        <v>100</v>
      </c>
      <c r="F343" s="272">
        <v>0</v>
      </c>
      <c r="G343" s="272">
        <v>22657400</v>
      </c>
      <c r="H343" s="271"/>
    </row>
    <row r="344" spans="1:8">
      <c r="A344" s="271" t="s">
        <v>881</v>
      </c>
      <c r="B344" s="271" t="s">
        <v>882</v>
      </c>
      <c r="C344" s="271" t="s">
        <v>872</v>
      </c>
      <c r="D344" s="271" t="s">
        <v>162</v>
      </c>
      <c r="E344" s="271" t="s">
        <v>100</v>
      </c>
      <c r="F344" s="272">
        <v>0</v>
      </c>
      <c r="G344" s="272">
        <v>4050000</v>
      </c>
      <c r="H344" s="271"/>
    </row>
    <row r="345" spans="1:8">
      <c r="A345" s="271" t="s">
        <v>883</v>
      </c>
      <c r="B345" s="271" t="s">
        <v>884</v>
      </c>
      <c r="C345" s="271" t="s">
        <v>872</v>
      </c>
      <c r="D345" s="271" t="s">
        <v>162</v>
      </c>
      <c r="E345" s="271" t="s">
        <v>100</v>
      </c>
      <c r="F345" s="272">
        <v>0</v>
      </c>
      <c r="G345" s="272">
        <v>101601</v>
      </c>
      <c r="H345" s="271"/>
    </row>
    <row r="346" spans="1:8">
      <c r="A346" s="271" t="s">
        <v>885</v>
      </c>
      <c r="B346" s="271" t="s">
        <v>886</v>
      </c>
      <c r="C346" s="271" t="s">
        <v>872</v>
      </c>
      <c r="D346" s="271" t="s">
        <v>162</v>
      </c>
      <c r="E346" s="271" t="s">
        <v>100</v>
      </c>
      <c r="F346" s="272">
        <v>0</v>
      </c>
      <c r="G346" s="272">
        <v>140400</v>
      </c>
      <c r="H346" s="271"/>
    </row>
    <row r="347" spans="1:8">
      <c r="A347" s="271" t="s">
        <v>887</v>
      </c>
      <c r="B347" s="271" t="s">
        <v>888</v>
      </c>
      <c r="C347" s="271" t="s">
        <v>872</v>
      </c>
      <c r="D347" s="271" t="s">
        <v>162</v>
      </c>
      <c r="E347" s="271" t="s">
        <v>100</v>
      </c>
      <c r="F347" s="272">
        <v>0</v>
      </c>
      <c r="G347" s="272">
        <v>200000</v>
      </c>
      <c r="H347" s="271"/>
    </row>
    <row r="348" spans="1:8">
      <c r="A348" s="271" t="s">
        <v>889</v>
      </c>
      <c r="B348" s="271" t="s">
        <v>890</v>
      </c>
      <c r="C348" s="271" t="s">
        <v>872</v>
      </c>
      <c r="D348" s="271" t="s">
        <v>169</v>
      </c>
      <c r="E348" s="271" t="s">
        <v>891</v>
      </c>
      <c r="F348" s="272">
        <v>0</v>
      </c>
      <c r="G348" s="272">
        <v>55649401</v>
      </c>
      <c r="H348" s="271"/>
    </row>
    <row r="349" spans="1:8">
      <c r="A349" s="271" t="s">
        <v>892</v>
      </c>
      <c r="B349" s="271" t="s">
        <v>893</v>
      </c>
      <c r="C349" s="271" t="s">
        <v>872</v>
      </c>
      <c r="D349" s="271" t="s">
        <v>157</v>
      </c>
      <c r="E349" s="271" t="s">
        <v>100</v>
      </c>
      <c r="F349" s="272">
        <v>0</v>
      </c>
      <c r="G349" s="272">
        <v>0</v>
      </c>
      <c r="H349" s="271"/>
    </row>
    <row r="350" spans="1:8">
      <c r="A350" s="271" t="s">
        <v>894</v>
      </c>
      <c r="B350" s="271" t="s">
        <v>895</v>
      </c>
      <c r="C350" s="271" t="s">
        <v>872</v>
      </c>
      <c r="D350" s="271" t="s">
        <v>162</v>
      </c>
      <c r="E350" s="271" t="s">
        <v>100</v>
      </c>
      <c r="F350" s="272">
        <v>0</v>
      </c>
      <c r="G350" s="272">
        <v>224000</v>
      </c>
      <c r="H350" s="271"/>
    </row>
    <row r="351" spans="1:8">
      <c r="A351" s="271" t="s">
        <v>896</v>
      </c>
      <c r="B351" s="271" t="s">
        <v>897</v>
      </c>
      <c r="C351" s="271" t="s">
        <v>872</v>
      </c>
      <c r="D351" s="271" t="s">
        <v>169</v>
      </c>
      <c r="E351" s="271" t="s">
        <v>898</v>
      </c>
      <c r="F351" s="272">
        <v>0</v>
      </c>
      <c r="G351" s="272">
        <v>224000</v>
      </c>
      <c r="H351" s="271"/>
    </row>
    <row r="352" spans="1:8">
      <c r="A352" s="271" t="s">
        <v>899</v>
      </c>
      <c r="B352" s="271" t="s">
        <v>900</v>
      </c>
      <c r="C352" s="271" t="s">
        <v>872</v>
      </c>
      <c r="D352" s="271" t="s">
        <v>157</v>
      </c>
      <c r="E352" s="271" t="s">
        <v>100</v>
      </c>
      <c r="F352" s="272">
        <v>0</v>
      </c>
      <c r="G352" s="272">
        <v>0</v>
      </c>
      <c r="H352" s="271"/>
    </row>
    <row r="353" spans="1:8">
      <c r="A353" s="271" t="s">
        <v>901</v>
      </c>
      <c r="B353" s="271" t="s">
        <v>902</v>
      </c>
      <c r="C353" s="271" t="s">
        <v>872</v>
      </c>
      <c r="D353" s="271" t="s">
        <v>162</v>
      </c>
      <c r="E353" s="271" t="s">
        <v>100</v>
      </c>
      <c r="F353" s="272">
        <v>0</v>
      </c>
      <c r="G353" s="272">
        <v>3366400</v>
      </c>
      <c r="H353" s="271"/>
    </row>
    <row r="354" spans="1:8">
      <c r="A354" s="271" t="s">
        <v>903</v>
      </c>
      <c r="B354" s="271" t="s">
        <v>904</v>
      </c>
      <c r="C354" s="271" t="s">
        <v>872</v>
      </c>
      <c r="D354" s="271" t="s">
        <v>162</v>
      </c>
      <c r="E354" s="271" t="s">
        <v>100</v>
      </c>
      <c r="F354" s="272">
        <v>-13437.5</v>
      </c>
      <c r="G354" s="272">
        <v>158437.5</v>
      </c>
      <c r="H354" s="271"/>
    </row>
    <row r="355" spans="1:8">
      <c r="A355" s="271" t="s">
        <v>905</v>
      </c>
      <c r="B355" s="271" t="s">
        <v>906</v>
      </c>
      <c r="C355" s="271" t="s">
        <v>872</v>
      </c>
      <c r="D355" s="271" t="s">
        <v>162</v>
      </c>
      <c r="E355" s="271" t="s">
        <v>100</v>
      </c>
      <c r="F355" s="272">
        <v>0</v>
      </c>
      <c r="G355" s="272">
        <v>8250</v>
      </c>
      <c r="H355" s="271"/>
    </row>
    <row r="356" spans="1:8">
      <c r="A356" s="271" t="s">
        <v>907</v>
      </c>
      <c r="B356" s="271" t="s">
        <v>908</v>
      </c>
      <c r="C356" s="271" t="s">
        <v>872</v>
      </c>
      <c r="D356" s="271" t="s">
        <v>162</v>
      </c>
      <c r="E356" s="271" t="s">
        <v>100</v>
      </c>
      <c r="F356" s="272">
        <v>0</v>
      </c>
      <c r="G356" s="272">
        <v>3129936.5</v>
      </c>
      <c r="H356" s="271"/>
    </row>
    <row r="357" spans="1:8">
      <c r="A357" s="271" t="s">
        <v>909</v>
      </c>
      <c r="B357" s="271" t="s">
        <v>910</v>
      </c>
      <c r="C357" s="271" t="s">
        <v>872</v>
      </c>
      <c r="D357" s="271" t="s">
        <v>162</v>
      </c>
      <c r="E357" s="271" t="s">
        <v>100</v>
      </c>
      <c r="F357" s="272">
        <v>0</v>
      </c>
      <c r="G357" s="272">
        <v>26594.5</v>
      </c>
      <c r="H357" s="271"/>
    </row>
    <row r="358" spans="1:8">
      <c r="A358" s="271" t="s">
        <v>911</v>
      </c>
      <c r="B358" s="271" t="s">
        <v>912</v>
      </c>
      <c r="C358" s="271" t="s">
        <v>872</v>
      </c>
      <c r="D358" s="271" t="s">
        <v>162</v>
      </c>
      <c r="E358" s="271" t="s">
        <v>100</v>
      </c>
      <c r="F358" s="272">
        <v>0</v>
      </c>
      <c r="G358" s="272">
        <v>1500000</v>
      </c>
      <c r="H358" s="271"/>
    </row>
    <row r="359" spans="1:8">
      <c r="A359" s="271" t="s">
        <v>913</v>
      </c>
      <c r="B359" s="271" t="s">
        <v>914</v>
      </c>
      <c r="C359" s="271" t="s">
        <v>872</v>
      </c>
      <c r="D359" s="271" t="s">
        <v>169</v>
      </c>
      <c r="E359" s="271" t="s">
        <v>915</v>
      </c>
      <c r="F359" s="272">
        <v>-13437.5</v>
      </c>
      <c r="G359" s="272">
        <v>8189618.5</v>
      </c>
      <c r="H359" s="271"/>
    </row>
    <row r="360" spans="1:8">
      <c r="A360" s="271" t="s">
        <v>916</v>
      </c>
      <c r="B360" s="271" t="s">
        <v>917</v>
      </c>
      <c r="C360" s="271" t="s">
        <v>872</v>
      </c>
      <c r="D360" s="271" t="s">
        <v>169</v>
      </c>
      <c r="E360" s="271" t="s">
        <v>918</v>
      </c>
      <c r="F360" s="272">
        <v>-13437.5</v>
      </c>
      <c r="G360" s="272">
        <v>64063019.5</v>
      </c>
      <c r="H360" s="271"/>
    </row>
    <row r="361" spans="1:8">
      <c r="A361" s="271" t="s">
        <v>919</v>
      </c>
      <c r="B361" s="271" t="s">
        <v>920</v>
      </c>
      <c r="C361" s="271" t="s">
        <v>872</v>
      </c>
      <c r="D361" s="271" t="s">
        <v>157</v>
      </c>
      <c r="E361" s="271" t="s">
        <v>100</v>
      </c>
      <c r="F361" s="272">
        <v>0</v>
      </c>
      <c r="G361" s="272">
        <v>0</v>
      </c>
      <c r="H361" s="271"/>
    </row>
    <row r="362" spans="1:8">
      <c r="A362" s="271" t="s">
        <v>921</v>
      </c>
      <c r="B362" s="271" t="s">
        <v>922</v>
      </c>
      <c r="C362" s="271" t="s">
        <v>872</v>
      </c>
      <c r="D362" s="271" t="s">
        <v>157</v>
      </c>
      <c r="E362" s="271" t="s">
        <v>100</v>
      </c>
      <c r="F362" s="272">
        <v>0</v>
      </c>
      <c r="G362" s="272">
        <v>0</v>
      </c>
      <c r="H362" s="271"/>
    </row>
    <row r="363" spans="1:8">
      <c r="A363" s="271" t="s">
        <v>923</v>
      </c>
      <c r="B363" s="271" t="s">
        <v>924</v>
      </c>
      <c r="C363" s="271" t="s">
        <v>872</v>
      </c>
      <c r="D363" s="271" t="s">
        <v>162</v>
      </c>
      <c r="E363" s="271" t="s">
        <v>100</v>
      </c>
      <c r="F363" s="272">
        <v>-253185.87</v>
      </c>
      <c r="G363" s="272">
        <v>0</v>
      </c>
      <c r="H363" s="271"/>
    </row>
    <row r="364" spans="1:8">
      <c r="A364" s="271" t="s">
        <v>925</v>
      </c>
      <c r="B364" s="271" t="s">
        <v>926</v>
      </c>
      <c r="C364" s="271" t="s">
        <v>872</v>
      </c>
      <c r="D364" s="271" t="s">
        <v>162</v>
      </c>
      <c r="E364" s="271" t="s">
        <v>100</v>
      </c>
      <c r="F364" s="272">
        <v>0</v>
      </c>
      <c r="G364" s="272">
        <v>0</v>
      </c>
      <c r="H364" s="271"/>
    </row>
    <row r="365" spans="1:8">
      <c r="A365" s="271" t="s">
        <v>927</v>
      </c>
      <c r="B365" s="271" t="s">
        <v>928</v>
      </c>
      <c r="C365" s="271" t="s">
        <v>872</v>
      </c>
      <c r="D365" s="271" t="s">
        <v>162</v>
      </c>
      <c r="E365" s="271" t="s">
        <v>100</v>
      </c>
      <c r="F365" s="272">
        <v>0</v>
      </c>
      <c r="G365" s="272">
        <v>0</v>
      </c>
      <c r="H365" s="271"/>
    </row>
    <row r="366" spans="1:8">
      <c r="A366" s="271" t="s">
        <v>929</v>
      </c>
      <c r="B366" s="271" t="s">
        <v>930</v>
      </c>
      <c r="C366" s="271" t="s">
        <v>872</v>
      </c>
      <c r="D366" s="271" t="s">
        <v>162</v>
      </c>
      <c r="E366" s="271" t="s">
        <v>100</v>
      </c>
      <c r="F366" s="272">
        <v>0</v>
      </c>
      <c r="G366" s="272">
        <v>0</v>
      </c>
      <c r="H366" s="271"/>
    </row>
    <row r="367" spans="1:8">
      <c r="A367" s="271" t="s">
        <v>931</v>
      </c>
      <c r="B367" s="271" t="s">
        <v>932</v>
      </c>
      <c r="C367" s="271" t="s">
        <v>872</v>
      </c>
      <c r="D367" s="271" t="s">
        <v>162</v>
      </c>
      <c r="E367" s="271" t="s">
        <v>100</v>
      </c>
      <c r="F367" s="272">
        <v>-948153.47</v>
      </c>
      <c r="G367" s="272">
        <v>25586.22</v>
      </c>
      <c r="H367" s="271"/>
    </row>
    <row r="368" spans="1:8">
      <c r="A368" s="271" t="s">
        <v>933</v>
      </c>
      <c r="B368" s="271" t="s">
        <v>934</v>
      </c>
      <c r="C368" s="271" t="s">
        <v>872</v>
      </c>
      <c r="D368" s="271" t="s">
        <v>162</v>
      </c>
      <c r="E368" s="271" t="s">
        <v>100</v>
      </c>
      <c r="F368" s="272">
        <v>0</v>
      </c>
      <c r="G368" s="272">
        <v>0</v>
      </c>
      <c r="H368" s="271"/>
    </row>
    <row r="369" spans="1:8">
      <c r="A369" s="271" t="s">
        <v>935</v>
      </c>
      <c r="B369" s="271" t="s">
        <v>936</v>
      </c>
      <c r="C369" s="271" t="s">
        <v>872</v>
      </c>
      <c r="D369" s="271" t="s">
        <v>162</v>
      </c>
      <c r="E369" s="271" t="s">
        <v>100</v>
      </c>
      <c r="F369" s="272">
        <v>0</v>
      </c>
      <c r="G369" s="272">
        <v>25000</v>
      </c>
      <c r="H369" s="271"/>
    </row>
    <row r="370" spans="1:8">
      <c r="A370" s="271" t="s">
        <v>937</v>
      </c>
      <c r="B370" s="271" t="s">
        <v>938</v>
      </c>
      <c r="C370" s="271" t="s">
        <v>872</v>
      </c>
      <c r="D370" s="271" t="s">
        <v>169</v>
      </c>
      <c r="E370" s="271" t="s">
        <v>939</v>
      </c>
      <c r="F370" s="272">
        <v>-1201339.3400000001</v>
      </c>
      <c r="G370" s="272">
        <v>50586.22</v>
      </c>
      <c r="H370" s="271"/>
    </row>
    <row r="371" spans="1:8">
      <c r="A371" s="271" t="s">
        <v>940</v>
      </c>
      <c r="B371" s="271" t="s">
        <v>941</v>
      </c>
      <c r="C371" s="271" t="s">
        <v>872</v>
      </c>
      <c r="D371" s="271" t="s">
        <v>157</v>
      </c>
      <c r="E371" s="271" t="s">
        <v>100</v>
      </c>
      <c r="F371" s="272">
        <v>0</v>
      </c>
      <c r="G371" s="272">
        <v>0</v>
      </c>
      <c r="H371" s="271"/>
    </row>
    <row r="372" spans="1:8">
      <c r="A372" s="271" t="s">
        <v>942</v>
      </c>
      <c r="B372" s="271" t="s">
        <v>943</v>
      </c>
      <c r="C372" s="271" t="s">
        <v>872</v>
      </c>
      <c r="D372" s="271" t="s">
        <v>162</v>
      </c>
      <c r="E372" s="271" t="s">
        <v>100</v>
      </c>
      <c r="F372" s="272">
        <v>-4000</v>
      </c>
      <c r="G372" s="272">
        <v>29500</v>
      </c>
      <c r="H372" s="271"/>
    </row>
    <row r="373" spans="1:8">
      <c r="A373" s="271" t="s">
        <v>944</v>
      </c>
      <c r="B373" s="271" t="s">
        <v>945</v>
      </c>
      <c r="C373" s="271" t="s">
        <v>872</v>
      </c>
      <c r="D373" s="271" t="s">
        <v>162</v>
      </c>
      <c r="E373" s="271" t="s">
        <v>100</v>
      </c>
      <c r="F373" s="272">
        <v>0</v>
      </c>
      <c r="G373" s="272">
        <v>20000</v>
      </c>
      <c r="H373" s="271"/>
    </row>
    <row r="374" spans="1:8">
      <c r="A374" s="271" t="s">
        <v>946</v>
      </c>
      <c r="B374" s="271" t="s">
        <v>947</v>
      </c>
      <c r="C374" s="271" t="s">
        <v>872</v>
      </c>
      <c r="D374" s="271" t="s">
        <v>162</v>
      </c>
      <c r="E374" s="271" t="s">
        <v>100</v>
      </c>
      <c r="F374" s="272">
        <v>0</v>
      </c>
      <c r="G374" s="272">
        <v>0</v>
      </c>
      <c r="H374" s="271"/>
    </row>
    <row r="375" spans="1:8">
      <c r="A375" s="271" t="s">
        <v>948</v>
      </c>
      <c r="B375" s="271" t="s">
        <v>949</v>
      </c>
      <c r="C375" s="271" t="s">
        <v>872</v>
      </c>
      <c r="D375" s="271" t="s">
        <v>162</v>
      </c>
      <c r="E375" s="271" t="s">
        <v>100</v>
      </c>
      <c r="F375" s="272">
        <v>0</v>
      </c>
      <c r="G375" s="272">
        <v>0</v>
      </c>
      <c r="H375" s="271"/>
    </row>
    <row r="376" spans="1:8">
      <c r="A376" s="271" t="s">
        <v>950</v>
      </c>
      <c r="B376" s="271" t="s">
        <v>951</v>
      </c>
      <c r="C376" s="271" t="s">
        <v>872</v>
      </c>
      <c r="D376" s="271" t="s">
        <v>162</v>
      </c>
      <c r="E376" s="271" t="s">
        <v>100</v>
      </c>
      <c r="F376" s="272">
        <v>-600</v>
      </c>
      <c r="G376" s="272">
        <v>0</v>
      </c>
      <c r="H376" s="271"/>
    </row>
    <row r="377" spans="1:8">
      <c r="A377" s="271" t="s">
        <v>952</v>
      </c>
      <c r="B377" s="271" t="s">
        <v>953</v>
      </c>
      <c r="C377" s="271" t="s">
        <v>872</v>
      </c>
      <c r="D377" s="271" t="s">
        <v>169</v>
      </c>
      <c r="E377" s="271" t="s">
        <v>954</v>
      </c>
      <c r="F377" s="272">
        <v>-4600</v>
      </c>
      <c r="G377" s="272">
        <v>49500</v>
      </c>
      <c r="H377" s="271"/>
    </row>
    <row r="378" spans="1:8">
      <c r="A378" s="271" t="s">
        <v>955</v>
      </c>
      <c r="B378" s="271" t="s">
        <v>956</v>
      </c>
      <c r="C378" s="271" t="s">
        <v>872</v>
      </c>
      <c r="D378" s="271" t="s">
        <v>157</v>
      </c>
      <c r="E378" s="271" t="s">
        <v>100</v>
      </c>
      <c r="F378" s="272">
        <v>0</v>
      </c>
      <c r="G378" s="272">
        <v>0</v>
      </c>
      <c r="H378" s="271"/>
    </row>
    <row r="379" spans="1:8">
      <c r="A379" s="271" t="s">
        <v>957</v>
      </c>
      <c r="B379" s="271" t="s">
        <v>958</v>
      </c>
      <c r="C379" s="271" t="s">
        <v>872</v>
      </c>
      <c r="D379" s="271" t="s">
        <v>162</v>
      </c>
      <c r="E379" s="271" t="s">
        <v>100</v>
      </c>
      <c r="F379" s="272">
        <v>-142500</v>
      </c>
      <c r="G379" s="272">
        <v>8297.6</v>
      </c>
      <c r="H379" s="271"/>
    </row>
    <row r="380" spans="1:8">
      <c r="A380" s="271" t="s">
        <v>959</v>
      </c>
      <c r="B380" s="271" t="s">
        <v>960</v>
      </c>
      <c r="C380" s="271" t="s">
        <v>872</v>
      </c>
      <c r="D380" s="271" t="s">
        <v>162</v>
      </c>
      <c r="E380" s="271" t="s">
        <v>100</v>
      </c>
      <c r="F380" s="272">
        <v>325662.07</v>
      </c>
      <c r="G380" s="272">
        <v>517756.47</v>
      </c>
      <c r="H380" s="271"/>
    </row>
    <row r="381" spans="1:8">
      <c r="A381" s="271" t="s">
        <v>961</v>
      </c>
      <c r="B381" s="271" t="s">
        <v>962</v>
      </c>
      <c r="C381" s="271" t="s">
        <v>872</v>
      </c>
      <c r="D381" s="271" t="s">
        <v>162</v>
      </c>
      <c r="E381" s="271" t="s">
        <v>100</v>
      </c>
      <c r="F381" s="272">
        <v>0</v>
      </c>
      <c r="G381" s="272">
        <v>117364.73</v>
      </c>
      <c r="H381" s="271"/>
    </row>
    <row r="382" spans="1:8">
      <c r="A382" s="271" t="s">
        <v>963</v>
      </c>
      <c r="B382" s="271" t="s">
        <v>964</v>
      </c>
      <c r="C382" s="271" t="s">
        <v>872</v>
      </c>
      <c r="D382" s="271" t="s">
        <v>162</v>
      </c>
      <c r="E382" s="271" t="s">
        <v>100</v>
      </c>
      <c r="F382" s="272">
        <v>0</v>
      </c>
      <c r="G382" s="272">
        <v>0</v>
      </c>
      <c r="H382" s="271"/>
    </row>
    <row r="383" spans="1:8">
      <c r="A383" s="271" t="s">
        <v>965</v>
      </c>
      <c r="B383" s="271" t="s">
        <v>966</v>
      </c>
      <c r="C383" s="271" t="s">
        <v>872</v>
      </c>
      <c r="D383" s="271" t="s">
        <v>169</v>
      </c>
      <c r="E383" s="271" t="s">
        <v>967</v>
      </c>
      <c r="F383" s="272">
        <v>183162.07</v>
      </c>
      <c r="G383" s="272">
        <v>643418.80000000005</v>
      </c>
      <c r="H383" s="271"/>
    </row>
    <row r="384" spans="1:8">
      <c r="A384" s="271" t="s">
        <v>968</v>
      </c>
      <c r="B384" s="271" t="s">
        <v>938</v>
      </c>
      <c r="C384" s="271" t="s">
        <v>872</v>
      </c>
      <c r="D384" s="271" t="s">
        <v>169</v>
      </c>
      <c r="E384" s="271" t="s">
        <v>969</v>
      </c>
      <c r="F384" s="272">
        <v>-1022777.27</v>
      </c>
      <c r="G384" s="272">
        <v>743505.02</v>
      </c>
      <c r="H384" s="271"/>
    </row>
    <row r="385" spans="1:8">
      <c r="A385" s="271" t="s">
        <v>970</v>
      </c>
      <c r="B385" s="271" t="s">
        <v>971</v>
      </c>
      <c r="C385" s="271" t="s">
        <v>872</v>
      </c>
      <c r="D385" s="271" t="s">
        <v>157</v>
      </c>
      <c r="E385" s="271" t="s">
        <v>100</v>
      </c>
      <c r="F385" s="272">
        <v>0</v>
      </c>
      <c r="G385" s="272">
        <v>0</v>
      </c>
      <c r="H385" s="271"/>
    </row>
    <row r="386" spans="1:8">
      <c r="A386" s="271" t="s">
        <v>972</v>
      </c>
      <c r="B386" s="271" t="s">
        <v>973</v>
      </c>
      <c r="C386" s="271" t="s">
        <v>872</v>
      </c>
      <c r="D386" s="271" t="s">
        <v>162</v>
      </c>
      <c r="E386" s="271" t="s">
        <v>100</v>
      </c>
      <c r="F386" s="272">
        <v>-2858649.08</v>
      </c>
      <c r="G386" s="272">
        <v>2770099.08</v>
      </c>
      <c r="H386" s="271"/>
    </row>
    <row r="387" spans="1:8">
      <c r="A387" s="271" t="s">
        <v>974</v>
      </c>
      <c r="B387" s="271" t="s">
        <v>975</v>
      </c>
      <c r="C387" s="271" t="s">
        <v>872</v>
      </c>
      <c r="D387" s="271" t="s">
        <v>162</v>
      </c>
      <c r="E387" s="271" t="s">
        <v>100</v>
      </c>
      <c r="F387" s="272">
        <v>6441.86</v>
      </c>
      <c r="G387" s="272">
        <v>8950.08</v>
      </c>
      <c r="H387" s="271"/>
    </row>
    <row r="388" spans="1:8">
      <c r="A388" s="271" t="s">
        <v>976</v>
      </c>
      <c r="B388" s="271" t="s">
        <v>977</v>
      </c>
      <c r="C388" s="271" t="s">
        <v>872</v>
      </c>
      <c r="D388" s="271" t="s">
        <v>162</v>
      </c>
      <c r="E388" s="271" t="s">
        <v>100</v>
      </c>
      <c r="F388" s="272">
        <v>-994.52</v>
      </c>
      <c r="G388" s="272">
        <v>2594</v>
      </c>
      <c r="H388" s="271"/>
    </row>
    <row r="389" spans="1:8">
      <c r="A389" s="271" t="s">
        <v>978</v>
      </c>
      <c r="B389" s="271" t="s">
        <v>979</v>
      </c>
      <c r="C389" s="271" t="s">
        <v>872</v>
      </c>
      <c r="D389" s="271" t="s">
        <v>162</v>
      </c>
      <c r="E389" s="271" t="s">
        <v>100</v>
      </c>
      <c r="F389" s="272">
        <v>0</v>
      </c>
      <c r="G389" s="272">
        <v>0</v>
      </c>
      <c r="H389" s="271"/>
    </row>
    <row r="390" spans="1:8">
      <c r="A390" s="271" t="s">
        <v>980</v>
      </c>
      <c r="B390" s="271" t="s">
        <v>981</v>
      </c>
      <c r="C390" s="271" t="s">
        <v>872</v>
      </c>
      <c r="D390" s="271" t="s">
        <v>162</v>
      </c>
      <c r="E390" s="271" t="s">
        <v>100</v>
      </c>
      <c r="F390" s="272">
        <v>-2059.38</v>
      </c>
      <c r="G390" s="272">
        <v>-834.22</v>
      </c>
      <c r="H390" s="271"/>
    </row>
    <row r="391" spans="1:8">
      <c r="A391" s="271" t="s">
        <v>982</v>
      </c>
      <c r="B391" s="271" t="s">
        <v>983</v>
      </c>
      <c r="C391" s="271" t="s">
        <v>872</v>
      </c>
      <c r="D391" s="271" t="s">
        <v>162</v>
      </c>
      <c r="E391" s="271" t="s">
        <v>100</v>
      </c>
      <c r="F391" s="272">
        <v>63961.599999999999</v>
      </c>
      <c r="G391" s="272">
        <v>77427.199999999997</v>
      </c>
      <c r="H391" s="271"/>
    </row>
    <row r="392" spans="1:8">
      <c r="A392" s="271" t="s">
        <v>984</v>
      </c>
      <c r="B392" s="271" t="s">
        <v>985</v>
      </c>
      <c r="C392" s="271" t="s">
        <v>872</v>
      </c>
      <c r="D392" s="271" t="s">
        <v>162</v>
      </c>
      <c r="E392" s="271" t="s">
        <v>100</v>
      </c>
      <c r="F392" s="272">
        <v>-9316.0300000000007</v>
      </c>
      <c r="G392" s="272">
        <v>1400</v>
      </c>
      <c r="H392" s="271"/>
    </row>
    <row r="393" spans="1:8">
      <c r="A393" s="271" t="s">
        <v>986</v>
      </c>
      <c r="B393" s="271" t="s">
        <v>987</v>
      </c>
      <c r="C393" s="271" t="s">
        <v>872</v>
      </c>
      <c r="D393" s="271" t="s">
        <v>162</v>
      </c>
      <c r="E393" s="271" t="s">
        <v>100</v>
      </c>
      <c r="F393" s="272">
        <v>3515.5</v>
      </c>
      <c r="G393" s="272">
        <v>8000.5</v>
      </c>
      <c r="H393" s="271"/>
    </row>
    <row r="394" spans="1:8">
      <c r="A394" s="271" t="s">
        <v>988</v>
      </c>
      <c r="B394" s="271" t="s">
        <v>989</v>
      </c>
      <c r="C394" s="271" t="s">
        <v>872</v>
      </c>
      <c r="D394" s="271" t="s">
        <v>162</v>
      </c>
      <c r="E394" s="271" t="s">
        <v>100</v>
      </c>
      <c r="F394" s="272">
        <v>1770</v>
      </c>
      <c r="G394" s="272">
        <v>2745.11</v>
      </c>
      <c r="H394" s="271"/>
    </row>
    <row r="395" spans="1:8">
      <c r="A395" s="271" t="s">
        <v>990</v>
      </c>
      <c r="B395" s="271" t="s">
        <v>991</v>
      </c>
      <c r="C395" s="271" t="s">
        <v>872</v>
      </c>
      <c r="D395" s="271" t="s">
        <v>162</v>
      </c>
      <c r="E395" s="271" t="s">
        <v>100</v>
      </c>
      <c r="F395" s="272">
        <v>-2245.2600000000002</v>
      </c>
      <c r="G395" s="272">
        <v>8118</v>
      </c>
      <c r="H395" s="271"/>
    </row>
    <row r="396" spans="1:8">
      <c r="A396" s="271" t="s">
        <v>992</v>
      </c>
      <c r="B396" s="271" t="s">
        <v>993</v>
      </c>
      <c r="C396" s="271" t="s">
        <v>872</v>
      </c>
      <c r="D396" s="271" t="s">
        <v>162</v>
      </c>
      <c r="E396" s="271" t="s">
        <v>100</v>
      </c>
      <c r="F396" s="272">
        <v>0</v>
      </c>
      <c r="G396" s="272">
        <v>0</v>
      </c>
      <c r="H396" s="271"/>
    </row>
    <row r="397" spans="1:8">
      <c r="A397" s="271" t="s">
        <v>994</v>
      </c>
      <c r="B397" s="271" t="s">
        <v>995</v>
      </c>
      <c r="C397" s="271" t="s">
        <v>872</v>
      </c>
      <c r="D397" s="271" t="s">
        <v>162</v>
      </c>
      <c r="E397" s="271" t="s">
        <v>100</v>
      </c>
      <c r="F397" s="272">
        <v>0</v>
      </c>
      <c r="G397" s="272">
        <v>0</v>
      </c>
      <c r="H397" s="271"/>
    </row>
    <row r="398" spans="1:8">
      <c r="A398" s="271" t="s">
        <v>996</v>
      </c>
      <c r="B398" s="271" t="s">
        <v>997</v>
      </c>
      <c r="C398" s="271" t="s">
        <v>872</v>
      </c>
      <c r="D398" s="271" t="s">
        <v>162</v>
      </c>
      <c r="E398" s="271" t="s">
        <v>100</v>
      </c>
      <c r="F398" s="272">
        <v>0</v>
      </c>
      <c r="G398" s="272">
        <v>978.75</v>
      </c>
      <c r="H398" s="271"/>
    </row>
    <row r="399" spans="1:8">
      <c r="A399" s="271" t="s">
        <v>998</v>
      </c>
      <c r="B399" s="271" t="s">
        <v>999</v>
      </c>
      <c r="C399" s="271" t="s">
        <v>872</v>
      </c>
      <c r="D399" s="271" t="s">
        <v>162</v>
      </c>
      <c r="E399" s="271" t="s">
        <v>100</v>
      </c>
      <c r="F399" s="272">
        <v>9621.3799999999992</v>
      </c>
      <c r="G399" s="272">
        <v>42943</v>
      </c>
      <c r="H399" s="271"/>
    </row>
    <row r="400" spans="1:8">
      <c r="A400" s="271" t="s">
        <v>1000</v>
      </c>
      <c r="B400" s="271" t="s">
        <v>1001</v>
      </c>
      <c r="C400" s="271" t="s">
        <v>872</v>
      </c>
      <c r="D400" s="271" t="s">
        <v>162</v>
      </c>
      <c r="E400" s="271" t="s">
        <v>100</v>
      </c>
      <c r="F400" s="272">
        <v>-512.89</v>
      </c>
      <c r="G400" s="272">
        <v>3566.98</v>
      </c>
      <c r="H400" s="271"/>
    </row>
    <row r="401" spans="1:8">
      <c r="A401" s="271" t="s">
        <v>1002</v>
      </c>
      <c r="B401" s="271" t="s">
        <v>1003</v>
      </c>
      <c r="C401" s="271" t="s">
        <v>872</v>
      </c>
      <c r="D401" s="271" t="s">
        <v>169</v>
      </c>
      <c r="E401" s="271" t="s">
        <v>1004</v>
      </c>
      <c r="F401" s="272">
        <v>-2788466.82</v>
      </c>
      <c r="G401" s="272">
        <v>2925988.48</v>
      </c>
      <c r="H401" s="271"/>
    </row>
    <row r="402" spans="1:8">
      <c r="A402" s="271" t="s">
        <v>1005</v>
      </c>
      <c r="B402" s="271" t="s">
        <v>1006</v>
      </c>
      <c r="C402" s="271" t="s">
        <v>872</v>
      </c>
      <c r="D402" s="271" t="s">
        <v>169</v>
      </c>
      <c r="E402" s="271" t="s">
        <v>1007</v>
      </c>
      <c r="F402" s="272">
        <v>-3824681.59</v>
      </c>
      <c r="G402" s="272">
        <v>67732513</v>
      </c>
      <c r="H402" s="271"/>
    </row>
    <row r="403" spans="1:8">
      <c r="A403" s="271" t="s">
        <v>1008</v>
      </c>
      <c r="B403" s="271" t="s">
        <v>1009</v>
      </c>
      <c r="C403" s="271" t="s">
        <v>872</v>
      </c>
      <c r="D403" s="271" t="s">
        <v>157</v>
      </c>
      <c r="E403" s="271" t="s">
        <v>100</v>
      </c>
      <c r="F403" s="272">
        <v>0</v>
      </c>
      <c r="G403" s="272">
        <v>0</v>
      </c>
      <c r="H403" s="271"/>
    </row>
    <row r="404" spans="1:8">
      <c r="A404" s="271" t="s">
        <v>1010</v>
      </c>
      <c r="B404" s="271" t="s">
        <v>1011</v>
      </c>
      <c r="C404" s="271" t="s">
        <v>872</v>
      </c>
      <c r="D404" s="271" t="s">
        <v>157</v>
      </c>
      <c r="E404" s="271" t="s">
        <v>100</v>
      </c>
      <c r="F404" s="272">
        <v>0</v>
      </c>
      <c r="G404" s="272">
        <v>0</v>
      </c>
      <c r="H404" s="271"/>
    </row>
    <row r="405" spans="1:8">
      <c r="A405" s="271" t="s">
        <v>1012</v>
      </c>
      <c r="B405" s="271" t="s">
        <v>1013</v>
      </c>
      <c r="C405" s="271" t="s">
        <v>872</v>
      </c>
      <c r="D405" s="271" t="s">
        <v>157</v>
      </c>
      <c r="E405" s="271" t="s">
        <v>100</v>
      </c>
      <c r="F405" s="272">
        <v>0</v>
      </c>
      <c r="G405" s="272">
        <v>0</v>
      </c>
      <c r="H405" s="271"/>
    </row>
    <row r="406" spans="1:8">
      <c r="A406" s="271" t="s">
        <v>1014</v>
      </c>
      <c r="B406" s="271" t="s">
        <v>1015</v>
      </c>
      <c r="C406" s="271" t="s">
        <v>872</v>
      </c>
      <c r="D406" s="271" t="s">
        <v>162</v>
      </c>
      <c r="E406" s="271" t="s">
        <v>100</v>
      </c>
      <c r="F406" s="272">
        <v>0</v>
      </c>
      <c r="G406" s="272">
        <v>-25076948.719999999</v>
      </c>
      <c r="H406" s="271"/>
    </row>
    <row r="407" spans="1:8">
      <c r="A407" s="271" t="s">
        <v>1016</v>
      </c>
      <c r="B407" s="271" t="s">
        <v>106</v>
      </c>
      <c r="C407" s="271" t="s">
        <v>872</v>
      </c>
      <c r="D407" s="271" t="s">
        <v>598</v>
      </c>
      <c r="E407" s="271" t="s">
        <v>869</v>
      </c>
      <c r="F407" s="272">
        <v>2928323.32</v>
      </c>
      <c r="G407" s="272">
        <v>4584712.3600000003</v>
      </c>
      <c r="H407" s="271"/>
    </row>
    <row r="408" spans="1:8">
      <c r="A408" s="271" t="s">
        <v>1017</v>
      </c>
      <c r="B408" s="271" t="s">
        <v>1018</v>
      </c>
      <c r="C408" s="271" t="s">
        <v>872</v>
      </c>
      <c r="D408" s="271" t="s">
        <v>162</v>
      </c>
      <c r="E408" s="271" t="s">
        <v>100</v>
      </c>
      <c r="F408" s="272">
        <v>0</v>
      </c>
      <c r="G408" s="272">
        <v>-3131550</v>
      </c>
      <c r="H408" s="271"/>
    </row>
    <row r="409" spans="1:8">
      <c r="A409" s="271" t="s">
        <v>1019</v>
      </c>
      <c r="B409" s="271" t="s">
        <v>1020</v>
      </c>
      <c r="C409" s="271" t="s">
        <v>872</v>
      </c>
      <c r="D409" s="271" t="s">
        <v>162</v>
      </c>
      <c r="E409" s="271" t="s">
        <v>100</v>
      </c>
      <c r="F409" s="272">
        <v>0</v>
      </c>
      <c r="G409" s="272">
        <v>703434.84</v>
      </c>
      <c r="H409" s="271"/>
    </row>
    <row r="410" spans="1:8">
      <c r="A410" s="271" t="s">
        <v>1021</v>
      </c>
      <c r="B410" s="271" t="s">
        <v>1022</v>
      </c>
      <c r="C410" s="271" t="s">
        <v>872</v>
      </c>
      <c r="D410" s="271" t="s">
        <v>162</v>
      </c>
      <c r="E410" s="271" t="s">
        <v>100</v>
      </c>
      <c r="F410" s="272">
        <v>0</v>
      </c>
      <c r="G410" s="272">
        <v>-21279346.149999999</v>
      </c>
      <c r="H410" s="271"/>
    </row>
    <row r="411" spans="1:8">
      <c r="A411" s="271" t="s">
        <v>1023</v>
      </c>
      <c r="B411" s="271" t="s">
        <v>1024</v>
      </c>
      <c r="C411" s="271" t="s">
        <v>872</v>
      </c>
      <c r="D411" s="271" t="s">
        <v>162</v>
      </c>
      <c r="E411" s="271" t="s">
        <v>100</v>
      </c>
      <c r="F411" s="272">
        <v>0</v>
      </c>
      <c r="G411" s="272">
        <v>-684572</v>
      </c>
      <c r="H411" s="271"/>
    </row>
    <row r="412" spans="1:8">
      <c r="A412" s="271" t="s">
        <v>1025</v>
      </c>
      <c r="B412" s="271" t="s">
        <v>1026</v>
      </c>
      <c r="C412" s="271" t="s">
        <v>872</v>
      </c>
      <c r="D412" s="271" t="s">
        <v>169</v>
      </c>
      <c r="E412" s="271" t="s">
        <v>1027</v>
      </c>
      <c r="F412" s="272">
        <v>0</v>
      </c>
      <c r="G412" s="272">
        <v>-49468982.030000001</v>
      </c>
      <c r="H412" s="271"/>
    </row>
    <row r="413" spans="1:8">
      <c r="A413" s="271" t="s">
        <v>1028</v>
      </c>
      <c r="B413" s="271" t="s">
        <v>1029</v>
      </c>
      <c r="C413" s="271" t="s">
        <v>872</v>
      </c>
      <c r="D413" s="271" t="s">
        <v>157</v>
      </c>
      <c r="E413" s="271" t="s">
        <v>100</v>
      </c>
      <c r="F413" s="272">
        <v>0</v>
      </c>
      <c r="G413" s="272">
        <v>0</v>
      </c>
      <c r="H413" s="271"/>
    </row>
    <row r="414" spans="1:8">
      <c r="A414" s="271" t="s">
        <v>1030</v>
      </c>
      <c r="B414" s="271" t="s">
        <v>1031</v>
      </c>
      <c r="C414" s="271" t="s">
        <v>872</v>
      </c>
      <c r="D414" s="271" t="s">
        <v>162</v>
      </c>
      <c r="E414" s="271" t="s">
        <v>100</v>
      </c>
      <c r="F414" s="272">
        <v>0</v>
      </c>
      <c r="G414" s="272">
        <v>-14423019.25</v>
      </c>
      <c r="H414" s="271"/>
    </row>
    <row r="415" spans="1:8">
      <c r="A415" s="271" t="s">
        <v>1032</v>
      </c>
      <c r="B415" s="271" t="s">
        <v>1033</v>
      </c>
      <c r="C415" s="271" t="s">
        <v>872</v>
      </c>
      <c r="D415" s="271" t="s">
        <v>162</v>
      </c>
      <c r="E415" s="271" t="s">
        <v>100</v>
      </c>
      <c r="F415" s="272">
        <v>-30167.5</v>
      </c>
      <c r="G415" s="272">
        <v>-84502.5</v>
      </c>
      <c r="H415" s="271"/>
    </row>
    <row r="416" spans="1:8">
      <c r="A416" s="271" t="s">
        <v>1034</v>
      </c>
      <c r="B416" s="271" t="s">
        <v>1035</v>
      </c>
      <c r="C416" s="271" t="s">
        <v>872</v>
      </c>
      <c r="D416" s="271" t="s">
        <v>162</v>
      </c>
      <c r="E416" s="271" t="s">
        <v>100</v>
      </c>
      <c r="F416" s="272">
        <v>80418</v>
      </c>
      <c r="G416" s="272">
        <v>649020</v>
      </c>
      <c r="H416" s="271"/>
    </row>
    <row r="417" spans="1:8">
      <c r="A417" s="271" t="s">
        <v>1036</v>
      </c>
      <c r="B417" s="271" t="s">
        <v>1037</v>
      </c>
      <c r="C417" s="271" t="s">
        <v>872</v>
      </c>
      <c r="D417" s="271" t="s">
        <v>162</v>
      </c>
      <c r="E417" s="271" t="s">
        <v>100</v>
      </c>
      <c r="F417" s="272">
        <v>92000</v>
      </c>
      <c r="G417" s="272">
        <v>7042278</v>
      </c>
      <c r="H417" s="271"/>
    </row>
    <row r="418" spans="1:8">
      <c r="A418" s="271" t="s">
        <v>1038</v>
      </c>
      <c r="B418" s="271" t="s">
        <v>440</v>
      </c>
      <c r="C418" s="271" t="s">
        <v>872</v>
      </c>
      <c r="D418" s="271" t="s">
        <v>162</v>
      </c>
      <c r="E418" s="271" t="s">
        <v>100</v>
      </c>
      <c r="F418" s="272">
        <v>0</v>
      </c>
      <c r="G418" s="272">
        <v>12000</v>
      </c>
      <c r="H418" s="271"/>
    </row>
    <row r="419" spans="1:8">
      <c r="A419" s="271" t="s">
        <v>1039</v>
      </c>
      <c r="B419" s="271" t="s">
        <v>1040</v>
      </c>
      <c r="C419" s="271" t="s">
        <v>872</v>
      </c>
      <c r="D419" s="271" t="s">
        <v>169</v>
      </c>
      <c r="E419" s="271" t="s">
        <v>1041</v>
      </c>
      <c r="F419" s="272">
        <v>142250.5</v>
      </c>
      <c r="G419" s="272">
        <v>-6804223.75</v>
      </c>
      <c r="H419" s="271"/>
    </row>
    <row r="420" spans="1:8">
      <c r="A420" s="271" t="s">
        <v>1042</v>
      </c>
      <c r="B420" s="271" t="s">
        <v>1043</v>
      </c>
      <c r="C420" s="271" t="s">
        <v>872</v>
      </c>
      <c r="D420" s="271" t="s">
        <v>157</v>
      </c>
      <c r="E420" s="271" t="s">
        <v>100</v>
      </c>
      <c r="F420" s="272">
        <v>0</v>
      </c>
      <c r="G420" s="272">
        <v>0</v>
      </c>
      <c r="H420" s="271"/>
    </row>
    <row r="421" spans="1:8">
      <c r="A421" s="271" t="s">
        <v>1044</v>
      </c>
      <c r="B421" s="271" t="s">
        <v>1045</v>
      </c>
      <c r="C421" s="271" t="s">
        <v>872</v>
      </c>
      <c r="D421" s="271" t="s">
        <v>162</v>
      </c>
      <c r="E421" s="271" t="s">
        <v>100</v>
      </c>
      <c r="F421" s="272">
        <v>0</v>
      </c>
      <c r="G421" s="272">
        <v>0</v>
      </c>
      <c r="H421" s="271"/>
    </row>
    <row r="422" spans="1:8">
      <c r="A422" s="271" t="s">
        <v>1046</v>
      </c>
      <c r="B422" s="271" t="s">
        <v>1047</v>
      </c>
      <c r="C422" s="271" t="s">
        <v>872</v>
      </c>
      <c r="D422" s="271" t="s">
        <v>162</v>
      </c>
      <c r="E422" s="271" t="s">
        <v>100</v>
      </c>
      <c r="F422" s="272">
        <v>0</v>
      </c>
      <c r="G422" s="272">
        <v>0</v>
      </c>
      <c r="H422" s="271"/>
    </row>
    <row r="423" spans="1:8">
      <c r="A423" s="271" t="s">
        <v>1048</v>
      </c>
      <c r="B423" s="271" t="s">
        <v>1049</v>
      </c>
      <c r="C423" s="271" t="s">
        <v>872</v>
      </c>
      <c r="D423" s="271" t="s">
        <v>162</v>
      </c>
      <c r="E423" s="271" t="s">
        <v>100</v>
      </c>
      <c r="F423" s="272">
        <v>0</v>
      </c>
      <c r="G423" s="272">
        <v>0</v>
      </c>
      <c r="H423" s="271"/>
    </row>
    <row r="424" spans="1:8">
      <c r="A424" s="271" t="s">
        <v>1050</v>
      </c>
      <c r="B424" s="271" t="s">
        <v>1051</v>
      </c>
      <c r="C424" s="271" t="s">
        <v>872</v>
      </c>
      <c r="D424" s="271" t="s">
        <v>162</v>
      </c>
      <c r="E424" s="271" t="s">
        <v>100</v>
      </c>
      <c r="F424" s="272">
        <v>0</v>
      </c>
      <c r="G424" s="272">
        <v>0</v>
      </c>
      <c r="H424" s="271"/>
    </row>
    <row r="425" spans="1:8">
      <c r="A425" s="271" t="s">
        <v>1052</v>
      </c>
      <c r="B425" s="271" t="s">
        <v>1053</v>
      </c>
      <c r="C425" s="271" t="s">
        <v>872</v>
      </c>
      <c r="D425" s="271" t="s">
        <v>162</v>
      </c>
      <c r="E425" s="271" t="s">
        <v>100</v>
      </c>
      <c r="F425" s="272">
        <v>0</v>
      </c>
      <c r="G425" s="272">
        <v>0</v>
      </c>
      <c r="H425" s="271"/>
    </row>
    <row r="426" spans="1:8">
      <c r="A426" s="271" t="s">
        <v>1054</v>
      </c>
      <c r="B426" s="271" t="s">
        <v>1055</v>
      </c>
      <c r="C426" s="271" t="s">
        <v>872</v>
      </c>
      <c r="D426" s="271" t="s">
        <v>162</v>
      </c>
      <c r="E426" s="271" t="s">
        <v>100</v>
      </c>
      <c r="F426" s="272">
        <v>-72704.17</v>
      </c>
      <c r="G426" s="272">
        <v>-4627888.3499999996</v>
      </c>
      <c r="H426" s="271"/>
    </row>
    <row r="427" spans="1:8">
      <c r="A427" s="271" t="s">
        <v>1056</v>
      </c>
      <c r="B427" s="271" t="s">
        <v>1057</v>
      </c>
      <c r="C427" s="271" t="s">
        <v>872</v>
      </c>
      <c r="D427" s="271" t="s">
        <v>157</v>
      </c>
      <c r="E427" s="271" t="s">
        <v>100</v>
      </c>
      <c r="F427" s="272">
        <v>0</v>
      </c>
      <c r="G427" s="272">
        <v>0</v>
      </c>
      <c r="H427" s="271"/>
    </row>
    <row r="428" spans="1:8">
      <c r="A428" s="271" t="s">
        <v>1058</v>
      </c>
      <c r="B428" s="271" t="s">
        <v>1031</v>
      </c>
      <c r="C428" s="271" t="s">
        <v>872</v>
      </c>
      <c r="D428" s="271" t="s">
        <v>162</v>
      </c>
      <c r="E428" s="271" t="s">
        <v>100</v>
      </c>
      <c r="F428" s="272">
        <v>0</v>
      </c>
      <c r="G428" s="272">
        <v>-542200.19999999995</v>
      </c>
      <c r="H428" s="271"/>
    </row>
    <row r="429" spans="1:8">
      <c r="A429" s="271" t="s">
        <v>1059</v>
      </c>
      <c r="B429" s="271" t="s">
        <v>1060</v>
      </c>
      <c r="C429" s="271" t="s">
        <v>872</v>
      </c>
      <c r="D429" s="271" t="s">
        <v>162</v>
      </c>
      <c r="E429" s="271" t="s">
        <v>100</v>
      </c>
      <c r="F429" s="272">
        <v>0</v>
      </c>
      <c r="G429" s="272">
        <v>0</v>
      </c>
      <c r="H429" s="271"/>
    </row>
    <row r="430" spans="1:8">
      <c r="A430" s="271" t="s">
        <v>1061</v>
      </c>
      <c r="B430" s="271" t="s">
        <v>1062</v>
      </c>
      <c r="C430" s="271" t="s">
        <v>872</v>
      </c>
      <c r="D430" s="271" t="s">
        <v>162</v>
      </c>
      <c r="E430" s="271" t="s">
        <v>100</v>
      </c>
      <c r="F430" s="272">
        <v>2040.9</v>
      </c>
      <c r="G430" s="272">
        <v>2040.9</v>
      </c>
      <c r="H430" s="271"/>
    </row>
    <row r="431" spans="1:8">
      <c r="A431" s="271" t="s">
        <v>1063</v>
      </c>
      <c r="B431" s="271" t="s">
        <v>1064</v>
      </c>
      <c r="C431" s="271" t="s">
        <v>872</v>
      </c>
      <c r="D431" s="271" t="s">
        <v>169</v>
      </c>
      <c r="E431" s="271" t="s">
        <v>1065</v>
      </c>
      <c r="F431" s="272">
        <v>2040.9</v>
      </c>
      <c r="G431" s="272">
        <v>-540159.30000000005</v>
      </c>
      <c r="H431" s="271"/>
    </row>
    <row r="432" spans="1:8">
      <c r="A432" s="271" t="s">
        <v>1066</v>
      </c>
      <c r="B432" s="271" t="s">
        <v>1067</v>
      </c>
      <c r="C432" s="271" t="s">
        <v>872</v>
      </c>
      <c r="D432" s="271" t="s">
        <v>169</v>
      </c>
      <c r="E432" s="271" t="s">
        <v>1068</v>
      </c>
      <c r="F432" s="272">
        <v>-70663.27</v>
      </c>
      <c r="G432" s="272">
        <v>-5168047.6500000004</v>
      </c>
      <c r="H432" s="271"/>
    </row>
    <row r="433" spans="1:8">
      <c r="A433" s="271" t="s">
        <v>1069</v>
      </c>
      <c r="B433" s="271" t="s">
        <v>1070</v>
      </c>
      <c r="C433" s="271" t="s">
        <v>872</v>
      </c>
      <c r="D433" s="271" t="s">
        <v>169</v>
      </c>
      <c r="E433" s="271" t="s">
        <v>1071</v>
      </c>
      <c r="F433" s="272">
        <v>71587.23</v>
      </c>
      <c r="G433" s="272">
        <v>-61441253.43</v>
      </c>
      <c r="H433" s="271"/>
    </row>
    <row r="434" spans="1:8">
      <c r="A434" s="271" t="s">
        <v>1072</v>
      </c>
      <c r="B434" s="271" t="s">
        <v>1073</v>
      </c>
      <c r="C434" s="271" t="s">
        <v>872</v>
      </c>
      <c r="D434" s="271" t="s">
        <v>157</v>
      </c>
      <c r="E434" s="271" t="s">
        <v>100</v>
      </c>
      <c r="F434" s="272">
        <v>0</v>
      </c>
      <c r="G434" s="272">
        <v>0</v>
      </c>
      <c r="H434" s="271"/>
    </row>
    <row r="435" spans="1:8">
      <c r="A435" s="271" t="s">
        <v>1074</v>
      </c>
      <c r="B435" s="271" t="s">
        <v>1075</v>
      </c>
      <c r="C435" s="271" t="s">
        <v>872</v>
      </c>
      <c r="D435" s="271" t="s">
        <v>162</v>
      </c>
      <c r="E435" s="271" t="s">
        <v>100</v>
      </c>
      <c r="F435" s="272">
        <v>0</v>
      </c>
      <c r="G435" s="272">
        <v>0</v>
      </c>
      <c r="H435" s="271"/>
    </row>
    <row r="436" spans="1:8">
      <c r="A436" s="271" t="s">
        <v>1076</v>
      </c>
      <c r="B436" s="271" t="s">
        <v>1077</v>
      </c>
      <c r="C436" s="271" t="s">
        <v>872</v>
      </c>
      <c r="D436" s="271" t="s">
        <v>162</v>
      </c>
      <c r="E436" s="271" t="s">
        <v>100</v>
      </c>
      <c r="F436" s="272">
        <v>0</v>
      </c>
      <c r="G436" s="272">
        <v>0</v>
      </c>
      <c r="H436" s="271"/>
    </row>
    <row r="437" spans="1:8">
      <c r="A437" s="271" t="s">
        <v>1078</v>
      </c>
      <c r="B437" s="271" t="s">
        <v>1079</v>
      </c>
      <c r="C437" s="271" t="s">
        <v>872</v>
      </c>
      <c r="D437" s="271" t="s">
        <v>162</v>
      </c>
      <c r="E437" s="271" t="s">
        <v>100</v>
      </c>
      <c r="F437" s="272">
        <v>147265.88</v>
      </c>
      <c r="G437" s="272">
        <v>-8216077.5899999999</v>
      </c>
      <c r="H437" s="271"/>
    </row>
    <row r="438" spans="1:8">
      <c r="A438" s="271" t="s">
        <v>1080</v>
      </c>
      <c r="B438" s="271" t="s">
        <v>1081</v>
      </c>
      <c r="C438" s="271" t="s">
        <v>872</v>
      </c>
      <c r="D438" s="271" t="s">
        <v>169</v>
      </c>
      <c r="E438" s="271" t="s">
        <v>1082</v>
      </c>
      <c r="F438" s="272">
        <v>147265.88</v>
      </c>
      <c r="G438" s="272">
        <v>-8216077.5899999999</v>
      </c>
      <c r="H438" s="271"/>
    </row>
    <row r="439" spans="1:8">
      <c r="A439" s="271" t="s">
        <v>1083</v>
      </c>
      <c r="B439" s="271" t="s">
        <v>1084</v>
      </c>
      <c r="C439" s="271" t="s">
        <v>872</v>
      </c>
      <c r="D439" s="271" t="s">
        <v>157</v>
      </c>
      <c r="E439" s="271" t="s">
        <v>100</v>
      </c>
      <c r="F439" s="272">
        <v>0</v>
      </c>
      <c r="G439" s="272">
        <v>0</v>
      </c>
      <c r="H439" s="271"/>
    </row>
    <row r="440" spans="1:8">
      <c r="A440" s="271" t="s">
        <v>1085</v>
      </c>
      <c r="B440" s="271" t="s">
        <v>1086</v>
      </c>
      <c r="C440" s="271" t="s">
        <v>872</v>
      </c>
      <c r="D440" s="271" t="s">
        <v>157</v>
      </c>
      <c r="E440" s="271" t="s">
        <v>100</v>
      </c>
      <c r="F440" s="272">
        <v>0</v>
      </c>
      <c r="G440" s="272">
        <v>0</v>
      </c>
      <c r="H440" s="271"/>
    </row>
    <row r="441" spans="1:8">
      <c r="A441" s="271" t="s">
        <v>1087</v>
      </c>
      <c r="B441" s="271" t="s">
        <v>1088</v>
      </c>
      <c r="C441" s="271" t="s">
        <v>872</v>
      </c>
      <c r="D441" s="271" t="s">
        <v>162</v>
      </c>
      <c r="E441" s="271" t="s">
        <v>100</v>
      </c>
      <c r="F441" s="272">
        <v>0</v>
      </c>
      <c r="G441" s="272">
        <v>-580656.53</v>
      </c>
      <c r="H441" s="271"/>
    </row>
    <row r="442" spans="1:8">
      <c r="A442" s="271" t="s">
        <v>1089</v>
      </c>
      <c r="B442" s="271" t="s">
        <v>1090</v>
      </c>
      <c r="C442" s="271" t="s">
        <v>872</v>
      </c>
      <c r="D442" s="271" t="s">
        <v>169</v>
      </c>
      <c r="E442" s="271" t="s">
        <v>1091</v>
      </c>
      <c r="F442" s="272">
        <v>0</v>
      </c>
      <c r="G442" s="272">
        <v>-580656.53</v>
      </c>
      <c r="H442" s="271"/>
    </row>
    <row r="443" spans="1:8">
      <c r="A443" s="271" t="s">
        <v>1092</v>
      </c>
      <c r="B443" s="271" t="s">
        <v>1093</v>
      </c>
      <c r="C443" s="271" t="s">
        <v>872</v>
      </c>
      <c r="D443" s="271" t="s">
        <v>157</v>
      </c>
      <c r="E443" s="271" t="s">
        <v>100</v>
      </c>
      <c r="F443" s="272">
        <v>0</v>
      </c>
      <c r="G443" s="272">
        <v>0</v>
      </c>
      <c r="H443" s="271"/>
    </row>
    <row r="444" spans="1:8">
      <c r="A444" s="271" t="s">
        <v>1094</v>
      </c>
      <c r="B444" s="271" t="s">
        <v>1095</v>
      </c>
      <c r="C444" s="271" t="s">
        <v>872</v>
      </c>
      <c r="D444" s="271" t="s">
        <v>157</v>
      </c>
      <c r="E444" s="271" t="s">
        <v>100</v>
      </c>
      <c r="F444" s="272">
        <v>0</v>
      </c>
      <c r="G444" s="272">
        <v>0</v>
      </c>
      <c r="H444" s="271"/>
    </row>
    <row r="445" spans="1:8">
      <c r="A445" s="271" t="s">
        <v>1096</v>
      </c>
      <c r="B445" s="271" t="s">
        <v>1097</v>
      </c>
      <c r="C445" s="271" t="s">
        <v>872</v>
      </c>
      <c r="D445" s="271" t="s">
        <v>162</v>
      </c>
      <c r="E445" s="271" t="s">
        <v>100</v>
      </c>
      <c r="F445" s="272">
        <v>0</v>
      </c>
      <c r="G445" s="272">
        <v>0</v>
      </c>
      <c r="H445" s="271"/>
    </row>
    <row r="446" spans="1:8">
      <c r="A446" s="271" t="s">
        <v>1098</v>
      </c>
      <c r="B446" s="271" t="s">
        <v>1099</v>
      </c>
      <c r="C446" s="271" t="s">
        <v>872</v>
      </c>
      <c r="D446" s="271" t="s">
        <v>162</v>
      </c>
      <c r="E446" s="271" t="s">
        <v>100</v>
      </c>
      <c r="F446" s="272">
        <v>0</v>
      </c>
      <c r="G446" s="272">
        <v>0</v>
      </c>
      <c r="H446" s="271"/>
    </row>
    <row r="447" spans="1:8">
      <c r="A447" s="271" t="s">
        <v>1100</v>
      </c>
      <c r="B447" s="271" t="s">
        <v>1101</v>
      </c>
      <c r="C447" s="271" t="s">
        <v>872</v>
      </c>
      <c r="D447" s="271" t="s">
        <v>169</v>
      </c>
      <c r="E447" s="271" t="s">
        <v>1102</v>
      </c>
      <c r="F447" s="272">
        <v>0</v>
      </c>
      <c r="G447" s="272">
        <v>0</v>
      </c>
      <c r="H447" s="271"/>
    </row>
    <row r="448" spans="1:8">
      <c r="A448" s="271" t="s">
        <v>1103</v>
      </c>
      <c r="B448" s="271" t="s">
        <v>1104</v>
      </c>
      <c r="C448" s="271" t="s">
        <v>872</v>
      </c>
      <c r="D448" s="271" t="s">
        <v>157</v>
      </c>
      <c r="E448" s="271" t="s">
        <v>100</v>
      </c>
      <c r="F448" s="272">
        <v>0</v>
      </c>
      <c r="G448" s="272">
        <v>0</v>
      </c>
      <c r="H448" s="271"/>
    </row>
    <row r="449" spans="1:8">
      <c r="A449" s="271" t="s">
        <v>1105</v>
      </c>
      <c r="B449" s="271" t="s">
        <v>155</v>
      </c>
      <c r="C449" s="271" t="s">
        <v>872</v>
      </c>
      <c r="D449" s="271" t="s">
        <v>157</v>
      </c>
      <c r="E449" s="271" t="s">
        <v>100</v>
      </c>
      <c r="F449" s="272">
        <v>0</v>
      </c>
      <c r="G449" s="272">
        <v>0</v>
      </c>
      <c r="H449" s="271"/>
    </row>
    <row r="450" spans="1:8">
      <c r="A450" s="271" t="s">
        <v>1106</v>
      </c>
      <c r="B450" s="271" t="s">
        <v>1107</v>
      </c>
      <c r="C450" s="271" t="s">
        <v>872</v>
      </c>
      <c r="D450" s="271" t="s">
        <v>162</v>
      </c>
      <c r="E450" s="271" t="s">
        <v>100</v>
      </c>
      <c r="F450" s="272">
        <v>-24149.94</v>
      </c>
      <c r="G450" s="272">
        <v>-106973.29</v>
      </c>
      <c r="H450" s="271"/>
    </row>
    <row r="451" spans="1:8">
      <c r="A451" s="271" t="s">
        <v>1108</v>
      </c>
      <c r="B451" s="271" t="s">
        <v>440</v>
      </c>
      <c r="C451" s="271" t="s">
        <v>872</v>
      </c>
      <c r="D451" s="271" t="s">
        <v>162</v>
      </c>
      <c r="E451" s="271" t="s">
        <v>100</v>
      </c>
      <c r="F451" s="272">
        <v>0</v>
      </c>
      <c r="G451" s="272">
        <v>0</v>
      </c>
      <c r="H451" s="271"/>
    </row>
    <row r="452" spans="1:8">
      <c r="A452" s="271" t="s">
        <v>1109</v>
      </c>
      <c r="B452" s="271" t="s">
        <v>1110</v>
      </c>
      <c r="C452" s="271" t="s">
        <v>872</v>
      </c>
      <c r="D452" s="271" t="s">
        <v>162</v>
      </c>
      <c r="E452" s="271" t="s">
        <v>100</v>
      </c>
      <c r="F452" s="272">
        <v>0</v>
      </c>
      <c r="G452" s="272">
        <v>0</v>
      </c>
      <c r="H452" s="271"/>
    </row>
    <row r="453" spans="1:8">
      <c r="A453" s="271" t="s">
        <v>1111</v>
      </c>
      <c r="B453" s="271" t="s">
        <v>481</v>
      </c>
      <c r="C453" s="271" t="s">
        <v>872</v>
      </c>
      <c r="D453" s="271" t="s">
        <v>162</v>
      </c>
      <c r="E453" s="271" t="s">
        <v>100</v>
      </c>
      <c r="F453" s="272">
        <v>0</v>
      </c>
      <c r="G453" s="272">
        <v>0</v>
      </c>
      <c r="H453" s="271"/>
    </row>
    <row r="454" spans="1:8">
      <c r="A454" s="271" t="s">
        <v>1112</v>
      </c>
      <c r="B454" s="271" t="s">
        <v>278</v>
      </c>
      <c r="C454" s="271" t="s">
        <v>872</v>
      </c>
      <c r="D454" s="271" t="s">
        <v>169</v>
      </c>
      <c r="E454" s="271" t="s">
        <v>1113</v>
      </c>
      <c r="F454" s="272">
        <v>-24149.94</v>
      </c>
      <c r="G454" s="272">
        <v>-106973.29</v>
      </c>
      <c r="H454" s="271"/>
    </row>
    <row r="455" spans="1:8">
      <c r="A455" s="271" t="s">
        <v>1114</v>
      </c>
      <c r="B455" s="271" t="s">
        <v>1115</v>
      </c>
      <c r="C455" s="271" t="s">
        <v>872</v>
      </c>
      <c r="D455" s="271" t="s">
        <v>157</v>
      </c>
      <c r="E455" s="271" t="s">
        <v>100</v>
      </c>
      <c r="F455" s="272">
        <v>0</v>
      </c>
      <c r="G455" s="272">
        <v>0</v>
      </c>
      <c r="H455" s="271"/>
    </row>
    <row r="456" spans="1:8">
      <c r="A456" s="271" t="s">
        <v>1116</v>
      </c>
      <c r="B456" s="271" t="s">
        <v>220</v>
      </c>
      <c r="C456" s="271" t="s">
        <v>872</v>
      </c>
      <c r="D456" s="271" t="s">
        <v>162</v>
      </c>
      <c r="E456" s="271" t="s">
        <v>100</v>
      </c>
      <c r="F456" s="272">
        <v>0</v>
      </c>
      <c r="G456" s="272">
        <v>0</v>
      </c>
      <c r="H456" s="271"/>
    </row>
    <row r="457" spans="1:8">
      <c r="A457" s="271" t="s">
        <v>1117</v>
      </c>
      <c r="B457" s="271" t="s">
        <v>1118</v>
      </c>
      <c r="C457" s="271" t="s">
        <v>872</v>
      </c>
      <c r="D457" s="271" t="s">
        <v>162</v>
      </c>
      <c r="E457" s="271" t="s">
        <v>100</v>
      </c>
      <c r="F457" s="272">
        <v>0</v>
      </c>
      <c r="G457" s="272">
        <v>0</v>
      </c>
      <c r="H457" s="271"/>
    </row>
    <row r="458" spans="1:8">
      <c r="A458" s="271" t="s">
        <v>1119</v>
      </c>
      <c r="B458" s="271" t="s">
        <v>1120</v>
      </c>
      <c r="C458" s="271" t="s">
        <v>872</v>
      </c>
      <c r="D458" s="271" t="s">
        <v>162</v>
      </c>
      <c r="E458" s="271" t="s">
        <v>100</v>
      </c>
      <c r="F458" s="272">
        <v>0</v>
      </c>
      <c r="G458" s="272">
        <v>0</v>
      </c>
      <c r="H458" s="271"/>
    </row>
    <row r="459" spans="1:8">
      <c r="A459" s="271" t="s">
        <v>1121</v>
      </c>
      <c r="B459" s="271" t="s">
        <v>1122</v>
      </c>
      <c r="C459" s="271" t="s">
        <v>872</v>
      </c>
      <c r="D459" s="271" t="s">
        <v>162</v>
      </c>
      <c r="E459" s="271" t="s">
        <v>100</v>
      </c>
      <c r="F459" s="272">
        <v>0</v>
      </c>
      <c r="G459" s="272">
        <v>0</v>
      </c>
      <c r="H459" s="271"/>
    </row>
    <row r="460" spans="1:8">
      <c r="A460" s="271" t="s">
        <v>1123</v>
      </c>
      <c r="B460" s="271" t="s">
        <v>1124</v>
      </c>
      <c r="C460" s="271" t="s">
        <v>872</v>
      </c>
      <c r="D460" s="271" t="s">
        <v>162</v>
      </c>
      <c r="E460" s="271" t="s">
        <v>100</v>
      </c>
      <c r="F460" s="272">
        <v>0</v>
      </c>
      <c r="G460" s="272">
        <v>0</v>
      </c>
      <c r="H460" s="271"/>
    </row>
    <row r="461" spans="1:8">
      <c r="A461" s="271" t="s">
        <v>1125</v>
      </c>
      <c r="B461" s="271" t="s">
        <v>1126</v>
      </c>
      <c r="C461" s="271" t="s">
        <v>872</v>
      </c>
      <c r="D461" s="271" t="s">
        <v>162</v>
      </c>
      <c r="E461" s="271" t="s">
        <v>100</v>
      </c>
      <c r="F461" s="272">
        <v>0</v>
      </c>
      <c r="G461" s="272">
        <v>0</v>
      </c>
      <c r="H461" s="271"/>
    </row>
    <row r="462" spans="1:8">
      <c r="A462" s="271" t="s">
        <v>1127</v>
      </c>
      <c r="B462" s="271" t="s">
        <v>1128</v>
      </c>
      <c r="C462" s="271" t="s">
        <v>872</v>
      </c>
      <c r="D462" s="271" t="s">
        <v>162</v>
      </c>
      <c r="E462" s="271" t="s">
        <v>100</v>
      </c>
      <c r="F462" s="272">
        <v>0</v>
      </c>
      <c r="G462" s="272">
        <v>0</v>
      </c>
      <c r="H462" s="271"/>
    </row>
    <row r="463" spans="1:8">
      <c r="A463" s="271" t="s">
        <v>1129</v>
      </c>
      <c r="B463" s="271" t="s">
        <v>1130</v>
      </c>
      <c r="C463" s="271" t="s">
        <v>872</v>
      </c>
      <c r="D463" s="271" t="s">
        <v>162</v>
      </c>
      <c r="E463" s="271" t="s">
        <v>100</v>
      </c>
      <c r="F463" s="272">
        <v>0</v>
      </c>
      <c r="G463" s="272">
        <v>0</v>
      </c>
      <c r="H463" s="271"/>
    </row>
    <row r="464" spans="1:8">
      <c r="A464" s="271" t="s">
        <v>1131</v>
      </c>
      <c r="B464" s="271" t="s">
        <v>1132</v>
      </c>
      <c r="C464" s="271" t="s">
        <v>872</v>
      </c>
      <c r="D464" s="271" t="s">
        <v>162</v>
      </c>
      <c r="E464" s="271" t="s">
        <v>100</v>
      </c>
      <c r="F464" s="272">
        <v>0</v>
      </c>
      <c r="G464" s="272">
        <v>0</v>
      </c>
      <c r="H464" s="271"/>
    </row>
    <row r="465" spans="1:8">
      <c r="A465" s="271" t="s">
        <v>1133</v>
      </c>
      <c r="B465" s="271" t="s">
        <v>1134</v>
      </c>
      <c r="C465" s="271" t="s">
        <v>872</v>
      </c>
      <c r="D465" s="271" t="s">
        <v>162</v>
      </c>
      <c r="E465" s="271" t="s">
        <v>100</v>
      </c>
      <c r="F465" s="272">
        <v>0</v>
      </c>
      <c r="G465" s="272">
        <v>0</v>
      </c>
      <c r="H465" s="271"/>
    </row>
    <row r="466" spans="1:8">
      <c r="A466" s="271" t="s">
        <v>1135</v>
      </c>
      <c r="B466" s="271" t="s">
        <v>1136</v>
      </c>
      <c r="C466" s="271" t="s">
        <v>872</v>
      </c>
      <c r="D466" s="271" t="s">
        <v>162</v>
      </c>
      <c r="E466" s="271" t="s">
        <v>100</v>
      </c>
      <c r="F466" s="272">
        <v>0</v>
      </c>
      <c r="G466" s="272">
        <v>0</v>
      </c>
      <c r="H466" s="271"/>
    </row>
    <row r="467" spans="1:8">
      <c r="A467" s="271" t="s">
        <v>1137</v>
      </c>
      <c r="B467" s="271" t="s">
        <v>1138</v>
      </c>
      <c r="C467" s="271" t="s">
        <v>872</v>
      </c>
      <c r="D467" s="271" t="s">
        <v>162</v>
      </c>
      <c r="E467" s="271" t="s">
        <v>100</v>
      </c>
      <c r="F467" s="272">
        <v>0</v>
      </c>
      <c r="G467" s="272">
        <v>0</v>
      </c>
      <c r="H467" s="271"/>
    </row>
    <row r="468" spans="1:8">
      <c r="A468" s="271" t="s">
        <v>1139</v>
      </c>
      <c r="B468" s="271" t="s">
        <v>1140</v>
      </c>
      <c r="C468" s="271" t="s">
        <v>872</v>
      </c>
      <c r="D468" s="271" t="s">
        <v>162</v>
      </c>
      <c r="E468" s="271" t="s">
        <v>100</v>
      </c>
      <c r="F468" s="272">
        <v>0</v>
      </c>
      <c r="G468" s="272">
        <v>0</v>
      </c>
      <c r="H468" s="271"/>
    </row>
    <row r="469" spans="1:8">
      <c r="A469" s="271" t="s">
        <v>1141</v>
      </c>
      <c r="B469" s="271" t="s">
        <v>1142</v>
      </c>
      <c r="C469" s="271" t="s">
        <v>872</v>
      </c>
      <c r="D469" s="271" t="s">
        <v>162</v>
      </c>
      <c r="E469" s="271" t="s">
        <v>100</v>
      </c>
      <c r="F469" s="272">
        <v>0</v>
      </c>
      <c r="G469" s="272">
        <v>0</v>
      </c>
      <c r="H469" s="271"/>
    </row>
    <row r="470" spans="1:8">
      <c r="A470" s="271" t="s">
        <v>1143</v>
      </c>
      <c r="B470" s="271" t="s">
        <v>1144</v>
      </c>
      <c r="C470" s="271" t="s">
        <v>872</v>
      </c>
      <c r="D470" s="271" t="s">
        <v>162</v>
      </c>
      <c r="E470" s="271" t="s">
        <v>100</v>
      </c>
      <c r="F470" s="272">
        <v>0</v>
      </c>
      <c r="G470" s="272">
        <v>0</v>
      </c>
      <c r="H470" s="271"/>
    </row>
    <row r="471" spans="1:8">
      <c r="A471" s="271" t="s">
        <v>1145</v>
      </c>
      <c r="B471" s="271" t="s">
        <v>1146</v>
      </c>
      <c r="C471" s="271" t="s">
        <v>872</v>
      </c>
      <c r="D471" s="271" t="s">
        <v>162</v>
      </c>
      <c r="E471" s="271" t="s">
        <v>100</v>
      </c>
      <c r="F471" s="272">
        <v>0</v>
      </c>
      <c r="G471" s="272">
        <v>0</v>
      </c>
      <c r="H471" s="271"/>
    </row>
    <row r="472" spans="1:8">
      <c r="A472" s="271" t="s">
        <v>1147</v>
      </c>
      <c r="B472" s="271" t="s">
        <v>1148</v>
      </c>
      <c r="C472" s="271" t="s">
        <v>872</v>
      </c>
      <c r="D472" s="271" t="s">
        <v>162</v>
      </c>
      <c r="E472" s="271" t="s">
        <v>100</v>
      </c>
      <c r="F472" s="272">
        <v>0</v>
      </c>
      <c r="G472" s="272">
        <v>0</v>
      </c>
      <c r="H472" s="271"/>
    </row>
    <row r="473" spans="1:8">
      <c r="A473" s="271" t="s">
        <v>1149</v>
      </c>
      <c r="B473" s="271" t="s">
        <v>1150</v>
      </c>
      <c r="C473" s="271" t="s">
        <v>872</v>
      </c>
      <c r="D473" s="271" t="s">
        <v>162</v>
      </c>
      <c r="E473" s="271" t="s">
        <v>100</v>
      </c>
      <c r="F473" s="272">
        <v>0</v>
      </c>
      <c r="G473" s="272">
        <v>0</v>
      </c>
      <c r="H473" s="271"/>
    </row>
    <row r="474" spans="1:8">
      <c r="A474" s="271" t="s">
        <v>1151</v>
      </c>
      <c r="B474" s="271" t="s">
        <v>1152</v>
      </c>
      <c r="C474" s="271" t="s">
        <v>872</v>
      </c>
      <c r="D474" s="271" t="s">
        <v>169</v>
      </c>
      <c r="E474" s="271" t="s">
        <v>1153</v>
      </c>
      <c r="F474" s="272">
        <v>0</v>
      </c>
      <c r="G474" s="272">
        <v>0</v>
      </c>
      <c r="H474" s="271"/>
    </row>
    <row r="475" spans="1:8">
      <c r="A475" s="271" t="s">
        <v>1154</v>
      </c>
      <c r="B475" s="271" t="s">
        <v>1155</v>
      </c>
      <c r="C475" s="271" t="s">
        <v>872</v>
      </c>
      <c r="D475" s="271" t="s">
        <v>169</v>
      </c>
      <c r="E475" s="271" t="s">
        <v>1156</v>
      </c>
      <c r="F475" s="272">
        <v>-24149.94</v>
      </c>
      <c r="G475" s="272">
        <v>-106973.29</v>
      </c>
      <c r="H475" s="271"/>
    </row>
    <row r="476" spans="1:8">
      <c r="A476" s="271" t="s">
        <v>1157</v>
      </c>
      <c r="B476" s="271" t="s">
        <v>1158</v>
      </c>
      <c r="C476" s="271" t="s">
        <v>872</v>
      </c>
      <c r="D476" s="271" t="s">
        <v>169</v>
      </c>
      <c r="E476" s="271" t="s">
        <v>1159</v>
      </c>
      <c r="F476" s="272">
        <v>-24149.94</v>
      </c>
      <c r="G476" s="272">
        <v>-106973.29</v>
      </c>
      <c r="H476" s="271"/>
    </row>
    <row r="477" spans="1:8">
      <c r="A477" s="271" t="s">
        <v>1160</v>
      </c>
      <c r="B477" s="271" t="s">
        <v>1161</v>
      </c>
      <c r="C477" s="271" t="s">
        <v>872</v>
      </c>
      <c r="D477" s="271" t="s">
        <v>157</v>
      </c>
      <c r="E477" s="271" t="s">
        <v>100</v>
      </c>
      <c r="F477" s="272">
        <v>0</v>
      </c>
      <c r="G477" s="272">
        <v>0</v>
      </c>
      <c r="H477" s="271"/>
    </row>
    <row r="478" spans="1:8">
      <c r="A478" s="271" t="s">
        <v>1162</v>
      </c>
      <c r="B478" s="271" t="s">
        <v>1163</v>
      </c>
      <c r="C478" s="271" t="s">
        <v>872</v>
      </c>
      <c r="D478" s="271" t="s">
        <v>162</v>
      </c>
      <c r="E478" s="271" t="s">
        <v>100</v>
      </c>
      <c r="F478" s="272">
        <v>1320</v>
      </c>
      <c r="G478" s="272">
        <v>-140</v>
      </c>
      <c r="H478" s="271"/>
    </row>
    <row r="479" spans="1:8">
      <c r="A479" s="271" t="s">
        <v>1164</v>
      </c>
      <c r="B479" s="271" t="s">
        <v>1165</v>
      </c>
      <c r="C479" s="271" t="s">
        <v>872</v>
      </c>
      <c r="D479" s="271" t="s">
        <v>162</v>
      </c>
      <c r="E479" s="271" t="s">
        <v>100</v>
      </c>
      <c r="F479" s="272">
        <v>0</v>
      </c>
      <c r="G479" s="272">
        <v>-600</v>
      </c>
      <c r="H479" s="271"/>
    </row>
    <row r="480" spans="1:8">
      <c r="A480" s="271" t="s">
        <v>1166</v>
      </c>
      <c r="B480" s="271" t="s">
        <v>1167</v>
      </c>
      <c r="C480" s="271" t="s">
        <v>872</v>
      </c>
      <c r="D480" s="271" t="s">
        <v>162</v>
      </c>
      <c r="E480" s="271" t="s">
        <v>100</v>
      </c>
      <c r="F480" s="272">
        <v>0</v>
      </c>
      <c r="G480" s="272">
        <v>0</v>
      </c>
      <c r="H480" s="271"/>
    </row>
    <row r="481" spans="1:8">
      <c r="A481" s="271" t="s">
        <v>1168</v>
      </c>
      <c r="B481" s="271" t="s">
        <v>1169</v>
      </c>
      <c r="C481" s="271" t="s">
        <v>872</v>
      </c>
      <c r="D481" s="271" t="s">
        <v>162</v>
      </c>
      <c r="E481" s="271" t="s">
        <v>100</v>
      </c>
      <c r="F481" s="272">
        <v>9510</v>
      </c>
      <c r="G481" s="272">
        <v>-2460</v>
      </c>
      <c r="H481" s="271"/>
    </row>
    <row r="482" spans="1:8">
      <c r="A482" s="271" t="s">
        <v>1170</v>
      </c>
      <c r="B482" s="271" t="s">
        <v>1171</v>
      </c>
      <c r="C482" s="271" t="s">
        <v>872</v>
      </c>
      <c r="D482" s="271" t="s">
        <v>162</v>
      </c>
      <c r="E482" s="271" t="s">
        <v>100</v>
      </c>
      <c r="F482" s="272">
        <v>0</v>
      </c>
      <c r="G482" s="272">
        <v>0</v>
      </c>
      <c r="H482" s="271"/>
    </row>
    <row r="483" spans="1:8">
      <c r="A483" s="271" t="s">
        <v>1172</v>
      </c>
      <c r="B483" s="271" t="s">
        <v>1173</v>
      </c>
      <c r="C483" s="271" t="s">
        <v>872</v>
      </c>
      <c r="D483" s="271" t="s">
        <v>162</v>
      </c>
      <c r="E483" s="271" t="s">
        <v>100</v>
      </c>
      <c r="F483" s="272">
        <v>2200</v>
      </c>
      <c r="G483" s="272">
        <v>-260</v>
      </c>
      <c r="H483" s="271"/>
    </row>
    <row r="484" spans="1:8">
      <c r="A484" s="271" t="s">
        <v>1174</v>
      </c>
      <c r="B484" s="271" t="s">
        <v>1175</v>
      </c>
      <c r="C484" s="271" t="s">
        <v>872</v>
      </c>
      <c r="D484" s="271" t="s">
        <v>162</v>
      </c>
      <c r="E484" s="271" t="s">
        <v>100</v>
      </c>
      <c r="F484" s="272">
        <v>2010</v>
      </c>
      <c r="G484" s="272">
        <v>0</v>
      </c>
      <c r="H484" s="271"/>
    </row>
    <row r="485" spans="1:8">
      <c r="A485" s="271" t="s">
        <v>1176</v>
      </c>
      <c r="B485" s="271" t="s">
        <v>1177</v>
      </c>
      <c r="C485" s="271" t="s">
        <v>872</v>
      </c>
      <c r="D485" s="271" t="s">
        <v>162</v>
      </c>
      <c r="E485" s="271" t="s">
        <v>100</v>
      </c>
      <c r="F485" s="272">
        <v>2150</v>
      </c>
      <c r="G485" s="272">
        <v>-1280</v>
      </c>
      <c r="H485" s="271"/>
    </row>
    <row r="486" spans="1:8">
      <c r="A486" s="271" t="s">
        <v>1178</v>
      </c>
      <c r="B486" s="271" t="s">
        <v>1179</v>
      </c>
      <c r="C486" s="271" t="s">
        <v>872</v>
      </c>
      <c r="D486" s="271" t="s">
        <v>162</v>
      </c>
      <c r="E486" s="271" t="s">
        <v>100</v>
      </c>
      <c r="F486" s="272">
        <v>-111760.77</v>
      </c>
      <c r="G486" s="272">
        <v>0</v>
      </c>
      <c r="H486" s="271"/>
    </row>
    <row r="487" spans="1:8">
      <c r="A487" s="271" t="s">
        <v>1180</v>
      </c>
      <c r="B487" s="271" t="s">
        <v>1181</v>
      </c>
      <c r="C487" s="271" t="s">
        <v>872</v>
      </c>
      <c r="D487" s="271" t="s">
        <v>162</v>
      </c>
      <c r="E487" s="271" t="s">
        <v>100</v>
      </c>
      <c r="F487" s="272">
        <v>0</v>
      </c>
      <c r="G487" s="272">
        <v>0</v>
      </c>
      <c r="H487" s="271"/>
    </row>
    <row r="488" spans="1:8">
      <c r="A488" s="271" t="s">
        <v>1182</v>
      </c>
      <c r="B488" s="271" t="s">
        <v>1183</v>
      </c>
      <c r="C488" s="271" t="s">
        <v>872</v>
      </c>
      <c r="D488" s="271" t="s">
        <v>162</v>
      </c>
      <c r="E488" s="271" t="s">
        <v>100</v>
      </c>
      <c r="F488" s="272">
        <v>0</v>
      </c>
      <c r="G488" s="272">
        <v>-108378.72</v>
      </c>
      <c r="H488" s="271"/>
    </row>
    <row r="489" spans="1:8">
      <c r="A489" s="271" t="s">
        <v>1184</v>
      </c>
      <c r="B489" s="271" t="s">
        <v>1185</v>
      </c>
      <c r="C489" s="271" t="s">
        <v>872</v>
      </c>
      <c r="D489" s="271" t="s">
        <v>162</v>
      </c>
      <c r="E489" s="271" t="s">
        <v>100</v>
      </c>
      <c r="F489" s="272">
        <v>-22777.39</v>
      </c>
      <c r="G489" s="272">
        <v>-22777.39</v>
      </c>
      <c r="H489" s="271"/>
    </row>
    <row r="490" spans="1:8">
      <c r="A490" s="271" t="s">
        <v>1186</v>
      </c>
      <c r="B490" s="271" t="s">
        <v>1187</v>
      </c>
      <c r="C490" s="271" t="s">
        <v>872</v>
      </c>
      <c r="D490" s="271" t="s">
        <v>162</v>
      </c>
      <c r="E490" s="271" t="s">
        <v>100</v>
      </c>
      <c r="F490" s="272">
        <v>0</v>
      </c>
      <c r="G490" s="272">
        <v>0</v>
      </c>
      <c r="H490" s="271"/>
    </row>
    <row r="491" spans="1:8">
      <c r="A491" s="271" t="s">
        <v>1188</v>
      </c>
      <c r="B491" s="271" t="s">
        <v>1189</v>
      </c>
      <c r="C491" s="271" t="s">
        <v>872</v>
      </c>
      <c r="D491" s="271" t="s">
        <v>162</v>
      </c>
      <c r="E491" s="271" t="s">
        <v>100</v>
      </c>
      <c r="F491" s="272">
        <v>0</v>
      </c>
      <c r="G491" s="272">
        <v>-12423.96</v>
      </c>
      <c r="H491" s="271"/>
    </row>
    <row r="492" spans="1:8">
      <c r="A492" s="271" t="s">
        <v>1190</v>
      </c>
      <c r="B492" s="271" t="s">
        <v>1191</v>
      </c>
      <c r="C492" s="271" t="s">
        <v>872</v>
      </c>
      <c r="D492" s="271" t="s">
        <v>162</v>
      </c>
      <c r="E492" s="271" t="s">
        <v>100</v>
      </c>
      <c r="F492" s="272">
        <v>0</v>
      </c>
      <c r="G492" s="272">
        <v>0</v>
      </c>
      <c r="H492" s="271"/>
    </row>
    <row r="493" spans="1:8">
      <c r="A493" s="271" t="s">
        <v>1192</v>
      </c>
      <c r="B493" s="271" t="s">
        <v>1193</v>
      </c>
      <c r="C493" s="271" t="s">
        <v>872</v>
      </c>
      <c r="D493" s="271" t="s">
        <v>162</v>
      </c>
      <c r="E493" s="271" t="s">
        <v>100</v>
      </c>
      <c r="F493" s="272">
        <v>0</v>
      </c>
      <c r="G493" s="272">
        <v>0</v>
      </c>
      <c r="H493" s="271"/>
    </row>
    <row r="494" spans="1:8">
      <c r="A494" s="271" t="s">
        <v>1194</v>
      </c>
      <c r="B494" s="271" t="s">
        <v>1195</v>
      </c>
      <c r="C494" s="271" t="s">
        <v>872</v>
      </c>
      <c r="D494" s="271" t="s">
        <v>162</v>
      </c>
      <c r="E494" s="271" t="s">
        <v>100</v>
      </c>
      <c r="F494" s="272">
        <v>24474.15</v>
      </c>
      <c r="G494" s="272">
        <v>47951.15</v>
      </c>
      <c r="H494" s="271"/>
    </row>
    <row r="495" spans="1:8">
      <c r="A495" s="271" t="s">
        <v>1196</v>
      </c>
      <c r="B495" s="271" t="s">
        <v>1197</v>
      </c>
      <c r="C495" s="271" t="s">
        <v>872</v>
      </c>
      <c r="D495" s="271" t="s">
        <v>162</v>
      </c>
      <c r="E495" s="271" t="s">
        <v>100</v>
      </c>
      <c r="F495" s="272">
        <v>57363.43</v>
      </c>
      <c r="G495" s="272">
        <v>0</v>
      </c>
      <c r="H495" s="271"/>
    </row>
    <row r="496" spans="1:8">
      <c r="A496" s="271" t="s">
        <v>1198</v>
      </c>
      <c r="B496" s="271" t="s">
        <v>1199</v>
      </c>
      <c r="C496" s="271" t="s">
        <v>872</v>
      </c>
      <c r="D496" s="271" t="s">
        <v>162</v>
      </c>
      <c r="E496" s="271" t="s">
        <v>100</v>
      </c>
      <c r="F496" s="272">
        <v>0</v>
      </c>
      <c r="G496" s="272">
        <v>-78145.119999999995</v>
      </c>
      <c r="H496" s="271"/>
    </row>
    <row r="497" spans="1:8">
      <c r="A497" s="271" t="s">
        <v>1200</v>
      </c>
      <c r="B497" s="271" t="s">
        <v>1201</v>
      </c>
      <c r="C497" s="271" t="s">
        <v>872</v>
      </c>
      <c r="D497" s="271" t="s">
        <v>169</v>
      </c>
      <c r="E497" s="271" t="s">
        <v>1202</v>
      </c>
      <c r="F497" s="272">
        <v>-35510.58</v>
      </c>
      <c r="G497" s="272">
        <v>-178514.04</v>
      </c>
      <c r="H497" s="271"/>
    </row>
    <row r="498" spans="1:8">
      <c r="A498" s="271" t="s">
        <v>1203</v>
      </c>
      <c r="B498" s="271" t="s">
        <v>1204</v>
      </c>
      <c r="C498" s="271" t="s">
        <v>872</v>
      </c>
      <c r="D498" s="271" t="s">
        <v>157</v>
      </c>
      <c r="E498" s="271" t="s">
        <v>100</v>
      </c>
      <c r="F498" s="272">
        <v>0</v>
      </c>
      <c r="G498" s="272">
        <v>0</v>
      </c>
      <c r="H498" s="271"/>
    </row>
    <row r="499" spans="1:8">
      <c r="A499" s="271" t="s">
        <v>1205</v>
      </c>
      <c r="B499" s="271" t="s">
        <v>1206</v>
      </c>
      <c r="C499" s="271" t="s">
        <v>872</v>
      </c>
      <c r="D499" s="271" t="s">
        <v>162</v>
      </c>
      <c r="E499" s="271" t="s">
        <v>100</v>
      </c>
      <c r="F499" s="272">
        <v>446806.96</v>
      </c>
      <c r="G499" s="272">
        <v>-22036.11</v>
      </c>
      <c r="H499" s="271"/>
    </row>
    <row r="500" spans="1:8">
      <c r="A500" s="271" t="s">
        <v>1207</v>
      </c>
      <c r="B500" s="271" t="s">
        <v>1208</v>
      </c>
      <c r="C500" s="271" t="s">
        <v>872</v>
      </c>
      <c r="D500" s="271" t="s">
        <v>169</v>
      </c>
      <c r="E500" s="271" t="s">
        <v>1209</v>
      </c>
      <c r="F500" s="272">
        <v>446806.96</v>
      </c>
      <c r="G500" s="272">
        <v>-22036.11</v>
      </c>
      <c r="H500" s="271"/>
    </row>
    <row r="501" spans="1:8">
      <c r="A501" s="271" t="s">
        <v>1210</v>
      </c>
      <c r="B501" s="271" t="s">
        <v>1211</v>
      </c>
      <c r="C501" s="271" t="s">
        <v>872</v>
      </c>
      <c r="D501" s="271" t="s">
        <v>157</v>
      </c>
      <c r="E501" s="271" t="s">
        <v>100</v>
      </c>
      <c r="F501" s="272">
        <v>0</v>
      </c>
      <c r="G501" s="272">
        <v>0</v>
      </c>
      <c r="H501" s="271"/>
    </row>
    <row r="502" spans="1:8">
      <c r="A502" s="271" t="s">
        <v>1212</v>
      </c>
      <c r="B502" s="271" t="s">
        <v>1213</v>
      </c>
      <c r="C502" s="271" t="s">
        <v>872</v>
      </c>
      <c r="D502" s="271" t="s">
        <v>162</v>
      </c>
      <c r="E502" s="271" t="s">
        <v>100</v>
      </c>
      <c r="F502" s="272">
        <v>0</v>
      </c>
      <c r="G502" s="272">
        <v>-221054</v>
      </c>
      <c r="H502" s="271"/>
    </row>
    <row r="503" spans="1:8">
      <c r="A503" s="271" t="s">
        <v>1214</v>
      </c>
      <c r="B503" s="271" t="s">
        <v>1215</v>
      </c>
      <c r="C503" s="271" t="s">
        <v>872</v>
      </c>
      <c r="D503" s="271" t="s">
        <v>162</v>
      </c>
      <c r="E503" s="271" t="s">
        <v>100</v>
      </c>
      <c r="F503" s="272">
        <v>0</v>
      </c>
      <c r="G503" s="272">
        <v>-67340</v>
      </c>
      <c r="H503" s="271"/>
    </row>
    <row r="504" spans="1:8">
      <c r="A504" s="271" t="s">
        <v>1216</v>
      </c>
      <c r="B504" s="271" t="s">
        <v>1217</v>
      </c>
      <c r="C504" s="271" t="s">
        <v>872</v>
      </c>
      <c r="D504" s="271" t="s">
        <v>162</v>
      </c>
      <c r="E504" s="271" t="s">
        <v>100</v>
      </c>
      <c r="F504" s="272">
        <v>23291.91</v>
      </c>
      <c r="G504" s="272">
        <v>23988.95</v>
      </c>
      <c r="H504" s="271"/>
    </row>
    <row r="505" spans="1:8">
      <c r="A505" s="271" t="s">
        <v>1218</v>
      </c>
      <c r="B505" s="271" t="s">
        <v>1219</v>
      </c>
      <c r="C505" s="271" t="s">
        <v>872</v>
      </c>
      <c r="D505" s="271" t="s">
        <v>162</v>
      </c>
      <c r="E505" s="271" t="s">
        <v>100</v>
      </c>
      <c r="F505" s="272">
        <v>-949.32</v>
      </c>
      <c r="G505" s="272">
        <v>-33986.49</v>
      </c>
      <c r="H505" s="271"/>
    </row>
    <row r="506" spans="1:8">
      <c r="A506" s="271" t="s">
        <v>1220</v>
      </c>
      <c r="B506" s="271" t="s">
        <v>1221</v>
      </c>
      <c r="C506" s="271" t="s">
        <v>872</v>
      </c>
      <c r="D506" s="271" t="s">
        <v>162</v>
      </c>
      <c r="E506" s="271" t="s">
        <v>100</v>
      </c>
      <c r="F506" s="272">
        <v>-47632.74</v>
      </c>
      <c r="G506" s="272">
        <v>-64974.69</v>
      </c>
      <c r="H506" s="271"/>
    </row>
    <row r="507" spans="1:8">
      <c r="A507" s="271" t="s">
        <v>1222</v>
      </c>
      <c r="B507" s="271" t="s">
        <v>1223</v>
      </c>
      <c r="C507" s="271" t="s">
        <v>872</v>
      </c>
      <c r="D507" s="271" t="s">
        <v>162</v>
      </c>
      <c r="E507" s="271" t="s">
        <v>100</v>
      </c>
      <c r="F507" s="272">
        <v>-18682.88</v>
      </c>
      <c r="G507" s="272">
        <v>0</v>
      </c>
      <c r="H507" s="271"/>
    </row>
    <row r="508" spans="1:8">
      <c r="A508" s="271" t="s">
        <v>1224</v>
      </c>
      <c r="B508" s="271" t="s">
        <v>1225</v>
      </c>
      <c r="C508" s="271" t="s">
        <v>872</v>
      </c>
      <c r="D508" s="271" t="s">
        <v>162</v>
      </c>
      <c r="E508" s="271" t="s">
        <v>100</v>
      </c>
      <c r="F508" s="272">
        <v>-6336.35</v>
      </c>
      <c r="G508" s="272">
        <v>40611.040000000001</v>
      </c>
      <c r="H508" s="271"/>
    </row>
    <row r="509" spans="1:8">
      <c r="A509" s="271" t="s">
        <v>1226</v>
      </c>
      <c r="B509" s="271" t="s">
        <v>1227</v>
      </c>
      <c r="C509" s="271" t="s">
        <v>872</v>
      </c>
      <c r="D509" s="271" t="s">
        <v>162</v>
      </c>
      <c r="E509" s="271" t="s">
        <v>100</v>
      </c>
      <c r="F509" s="272">
        <v>0</v>
      </c>
      <c r="G509" s="272">
        <v>0</v>
      </c>
      <c r="H509" s="271"/>
    </row>
    <row r="510" spans="1:8">
      <c r="A510" s="271" t="s">
        <v>1228</v>
      </c>
      <c r="B510" s="271" t="s">
        <v>1229</v>
      </c>
      <c r="C510" s="271" t="s">
        <v>872</v>
      </c>
      <c r="D510" s="271" t="s">
        <v>169</v>
      </c>
      <c r="E510" s="271" t="s">
        <v>1230</v>
      </c>
      <c r="F510" s="272">
        <v>-50309.38</v>
      </c>
      <c r="G510" s="272">
        <v>-322755.19</v>
      </c>
      <c r="H510" s="271"/>
    </row>
    <row r="511" spans="1:8">
      <c r="A511" s="271" t="s">
        <v>1231</v>
      </c>
      <c r="B511" s="271" t="s">
        <v>1232</v>
      </c>
      <c r="C511" s="271" t="s">
        <v>872</v>
      </c>
      <c r="D511" s="271" t="s">
        <v>157</v>
      </c>
      <c r="E511" s="271" t="s">
        <v>100</v>
      </c>
      <c r="F511" s="272">
        <v>0</v>
      </c>
      <c r="G511" s="272">
        <v>0</v>
      </c>
      <c r="H511" s="271"/>
    </row>
    <row r="512" spans="1:8">
      <c r="A512" s="271" t="s">
        <v>1233</v>
      </c>
      <c r="B512" s="271" t="s">
        <v>1234</v>
      </c>
      <c r="C512" s="271" t="s">
        <v>872</v>
      </c>
      <c r="D512" s="271" t="s">
        <v>162</v>
      </c>
      <c r="E512" s="271" t="s">
        <v>100</v>
      </c>
      <c r="F512" s="272">
        <v>379</v>
      </c>
      <c r="G512" s="272">
        <v>-3223.65</v>
      </c>
      <c r="H512" s="271"/>
    </row>
    <row r="513" spans="1:8">
      <c r="A513" s="271" t="s">
        <v>1235</v>
      </c>
      <c r="B513" s="271" t="s">
        <v>1236</v>
      </c>
      <c r="C513" s="271" t="s">
        <v>872</v>
      </c>
      <c r="D513" s="271" t="s">
        <v>162</v>
      </c>
      <c r="E513" s="271" t="s">
        <v>100</v>
      </c>
      <c r="F513" s="272">
        <v>0</v>
      </c>
      <c r="G513" s="272">
        <v>0</v>
      </c>
      <c r="H513" s="271"/>
    </row>
    <row r="514" spans="1:8">
      <c r="A514" s="271" t="s">
        <v>1237</v>
      </c>
      <c r="B514" s="271" t="s">
        <v>1238</v>
      </c>
      <c r="C514" s="271" t="s">
        <v>872</v>
      </c>
      <c r="D514" s="271" t="s">
        <v>162</v>
      </c>
      <c r="E514" s="271" t="s">
        <v>100</v>
      </c>
      <c r="F514" s="272">
        <v>693.31</v>
      </c>
      <c r="G514" s="272">
        <v>-1025.1400000000001</v>
      </c>
      <c r="H514" s="271"/>
    </row>
    <row r="515" spans="1:8">
      <c r="A515" s="271" t="s">
        <v>1239</v>
      </c>
      <c r="B515" s="271" t="s">
        <v>1240</v>
      </c>
      <c r="C515" s="271" t="s">
        <v>872</v>
      </c>
      <c r="D515" s="271" t="s">
        <v>162</v>
      </c>
      <c r="E515" s="271" t="s">
        <v>100</v>
      </c>
      <c r="F515" s="272">
        <v>109485.03</v>
      </c>
      <c r="G515" s="272">
        <v>-2</v>
      </c>
      <c r="H515" s="271"/>
    </row>
    <row r="516" spans="1:8">
      <c r="A516" s="271" t="s">
        <v>1241</v>
      </c>
      <c r="B516" s="271" t="s">
        <v>1242</v>
      </c>
      <c r="C516" s="271" t="s">
        <v>872</v>
      </c>
      <c r="D516" s="271" t="s">
        <v>162</v>
      </c>
      <c r="E516" s="271" t="s">
        <v>100</v>
      </c>
      <c r="F516" s="272">
        <v>0</v>
      </c>
      <c r="G516" s="272">
        <v>0</v>
      </c>
      <c r="H516" s="271"/>
    </row>
    <row r="517" spans="1:8">
      <c r="A517" s="271" t="s">
        <v>1243</v>
      </c>
      <c r="B517" s="271" t="s">
        <v>1244</v>
      </c>
      <c r="C517" s="271" t="s">
        <v>872</v>
      </c>
      <c r="D517" s="271" t="s">
        <v>162</v>
      </c>
      <c r="E517" s="271" t="s">
        <v>100</v>
      </c>
      <c r="F517" s="272">
        <v>0</v>
      </c>
      <c r="G517" s="272">
        <v>0</v>
      </c>
      <c r="H517" s="271"/>
    </row>
    <row r="518" spans="1:8">
      <c r="A518" s="271" t="s">
        <v>1245</v>
      </c>
      <c r="B518" s="271" t="s">
        <v>1246</v>
      </c>
      <c r="C518" s="271" t="s">
        <v>872</v>
      </c>
      <c r="D518" s="271" t="s">
        <v>162</v>
      </c>
      <c r="E518" s="271" t="s">
        <v>100</v>
      </c>
      <c r="F518" s="272">
        <v>0</v>
      </c>
      <c r="G518" s="272">
        <v>-65875</v>
      </c>
      <c r="H518" s="271"/>
    </row>
    <row r="519" spans="1:8">
      <c r="A519" s="271" t="s">
        <v>1247</v>
      </c>
      <c r="B519" s="271" t="s">
        <v>1248</v>
      </c>
      <c r="C519" s="271" t="s">
        <v>872</v>
      </c>
      <c r="D519" s="271" t="s">
        <v>162</v>
      </c>
      <c r="E519" s="271" t="s">
        <v>100</v>
      </c>
      <c r="F519" s="272">
        <v>0</v>
      </c>
      <c r="G519" s="272">
        <v>0</v>
      </c>
      <c r="H519" s="271"/>
    </row>
    <row r="520" spans="1:8">
      <c r="A520" s="271" t="s">
        <v>1249</v>
      </c>
      <c r="B520" s="271" t="s">
        <v>1250</v>
      </c>
      <c r="C520" s="271" t="s">
        <v>872</v>
      </c>
      <c r="D520" s="271" t="s">
        <v>169</v>
      </c>
      <c r="E520" s="271" t="s">
        <v>1251</v>
      </c>
      <c r="F520" s="272">
        <v>110557.34</v>
      </c>
      <c r="G520" s="272">
        <v>-70125.789999999994</v>
      </c>
      <c r="H520" s="271"/>
    </row>
    <row r="521" spans="1:8">
      <c r="A521" s="271" t="s">
        <v>1252</v>
      </c>
      <c r="B521" s="271" t="s">
        <v>1253</v>
      </c>
      <c r="C521" s="271" t="s">
        <v>872</v>
      </c>
      <c r="D521" s="271" t="s">
        <v>157</v>
      </c>
      <c r="E521" s="271" t="s">
        <v>100</v>
      </c>
      <c r="F521" s="272">
        <v>0</v>
      </c>
      <c r="G521" s="272">
        <v>0</v>
      </c>
      <c r="H521" s="271"/>
    </row>
    <row r="522" spans="1:8">
      <c r="A522" s="271" t="s">
        <v>1254</v>
      </c>
      <c r="B522" s="271" t="s">
        <v>155</v>
      </c>
      <c r="C522" s="271" t="s">
        <v>872</v>
      </c>
      <c r="D522" s="271" t="s">
        <v>157</v>
      </c>
      <c r="E522" s="271" t="s">
        <v>100</v>
      </c>
      <c r="F522" s="272">
        <v>0</v>
      </c>
      <c r="G522" s="272">
        <v>0</v>
      </c>
      <c r="H522" s="271"/>
    </row>
    <row r="523" spans="1:8">
      <c r="A523" s="271" t="s">
        <v>1255</v>
      </c>
      <c r="B523" s="271" t="s">
        <v>1256</v>
      </c>
      <c r="C523" s="271" t="s">
        <v>872</v>
      </c>
      <c r="D523" s="271" t="s">
        <v>157</v>
      </c>
      <c r="E523" s="271" t="s">
        <v>100</v>
      </c>
      <c r="F523" s="272">
        <v>0</v>
      </c>
      <c r="G523" s="272">
        <v>0</v>
      </c>
      <c r="H523" s="271"/>
    </row>
    <row r="524" spans="1:8">
      <c r="A524" s="271" t="s">
        <v>1257</v>
      </c>
      <c r="B524" s="271" t="s">
        <v>1258</v>
      </c>
      <c r="C524" s="271" t="s">
        <v>872</v>
      </c>
      <c r="D524" s="271" t="s">
        <v>162</v>
      </c>
      <c r="E524" s="271" t="s">
        <v>100</v>
      </c>
      <c r="F524" s="272">
        <v>0</v>
      </c>
      <c r="G524" s="272">
        <v>0</v>
      </c>
      <c r="H524" s="271"/>
    </row>
    <row r="525" spans="1:8">
      <c r="A525" s="271" t="s">
        <v>1259</v>
      </c>
      <c r="B525" s="271" t="s">
        <v>1260</v>
      </c>
      <c r="C525" s="271" t="s">
        <v>872</v>
      </c>
      <c r="D525" s="271" t="s">
        <v>162</v>
      </c>
      <c r="E525" s="271" t="s">
        <v>100</v>
      </c>
      <c r="F525" s="272">
        <v>0</v>
      </c>
      <c r="G525" s="272">
        <v>0</v>
      </c>
      <c r="H525" s="271"/>
    </row>
    <row r="526" spans="1:8">
      <c r="A526" s="271" t="s">
        <v>1261</v>
      </c>
      <c r="B526" s="271" t="s">
        <v>1262</v>
      </c>
      <c r="C526" s="271" t="s">
        <v>872</v>
      </c>
      <c r="D526" s="271" t="s">
        <v>162</v>
      </c>
      <c r="E526" s="271" t="s">
        <v>100</v>
      </c>
      <c r="F526" s="272">
        <v>0</v>
      </c>
      <c r="G526" s="272">
        <v>0</v>
      </c>
      <c r="H526" s="271"/>
    </row>
    <row r="527" spans="1:8">
      <c r="A527" s="271" t="s">
        <v>1263</v>
      </c>
      <c r="B527" s="271" t="s">
        <v>1264</v>
      </c>
      <c r="C527" s="271" t="s">
        <v>872</v>
      </c>
      <c r="D527" s="271" t="s">
        <v>162</v>
      </c>
      <c r="E527" s="271" t="s">
        <v>100</v>
      </c>
      <c r="F527" s="272">
        <v>0</v>
      </c>
      <c r="G527" s="272">
        <v>0</v>
      </c>
      <c r="H527" s="271"/>
    </row>
    <row r="528" spans="1:8">
      <c r="A528" s="271" t="s">
        <v>1265</v>
      </c>
      <c r="B528" s="271" t="s">
        <v>1266</v>
      </c>
      <c r="C528" s="271" t="s">
        <v>872</v>
      </c>
      <c r="D528" s="271" t="s">
        <v>162</v>
      </c>
      <c r="E528" s="271" t="s">
        <v>100</v>
      </c>
      <c r="F528" s="272">
        <v>0</v>
      </c>
      <c r="G528" s="272">
        <v>0</v>
      </c>
      <c r="H528" s="271"/>
    </row>
    <row r="529" spans="1:8">
      <c r="A529" s="271" t="s">
        <v>1267</v>
      </c>
      <c r="B529" s="271" t="s">
        <v>1268</v>
      </c>
      <c r="C529" s="271" t="s">
        <v>872</v>
      </c>
      <c r="D529" s="271" t="s">
        <v>162</v>
      </c>
      <c r="E529" s="271" t="s">
        <v>100</v>
      </c>
      <c r="F529" s="272">
        <v>0</v>
      </c>
      <c r="G529" s="272">
        <v>0</v>
      </c>
      <c r="H529" s="271"/>
    </row>
    <row r="530" spans="1:8">
      <c r="A530" s="271" t="s">
        <v>1269</v>
      </c>
      <c r="B530" s="271" t="s">
        <v>1270</v>
      </c>
      <c r="C530" s="271" t="s">
        <v>872</v>
      </c>
      <c r="D530" s="271" t="s">
        <v>169</v>
      </c>
      <c r="E530" s="271" t="s">
        <v>1271</v>
      </c>
      <c r="F530" s="272">
        <v>0</v>
      </c>
      <c r="G530" s="272">
        <v>0</v>
      </c>
      <c r="H530" s="271"/>
    </row>
    <row r="531" spans="1:8">
      <c r="A531" s="271" t="s">
        <v>1272</v>
      </c>
      <c r="B531" s="271" t="s">
        <v>189</v>
      </c>
      <c r="C531" s="271" t="s">
        <v>872</v>
      </c>
      <c r="D531" s="271" t="s">
        <v>157</v>
      </c>
      <c r="E531" s="271" t="s">
        <v>100</v>
      </c>
      <c r="F531" s="272">
        <v>0</v>
      </c>
      <c r="G531" s="272">
        <v>0</v>
      </c>
      <c r="H531" s="271"/>
    </row>
    <row r="532" spans="1:8">
      <c r="A532" s="271" t="s">
        <v>1273</v>
      </c>
      <c r="B532" s="271" t="s">
        <v>1110</v>
      </c>
      <c r="C532" s="271" t="s">
        <v>872</v>
      </c>
      <c r="D532" s="271" t="s">
        <v>162</v>
      </c>
      <c r="E532" s="271" t="s">
        <v>100</v>
      </c>
      <c r="F532" s="272">
        <v>0</v>
      </c>
      <c r="G532" s="272">
        <v>0</v>
      </c>
      <c r="H532" s="271"/>
    </row>
    <row r="533" spans="1:8">
      <c r="A533" s="271" t="s">
        <v>1274</v>
      </c>
      <c r="B533" s="271" t="s">
        <v>1275</v>
      </c>
      <c r="C533" s="271" t="s">
        <v>872</v>
      </c>
      <c r="D533" s="271" t="s">
        <v>162</v>
      </c>
      <c r="E533" s="271" t="s">
        <v>100</v>
      </c>
      <c r="F533" s="272">
        <v>0</v>
      </c>
      <c r="G533" s="272">
        <v>0</v>
      </c>
      <c r="H533" s="271"/>
    </row>
    <row r="534" spans="1:8">
      <c r="A534" s="271" t="s">
        <v>1276</v>
      </c>
      <c r="B534" s="271" t="s">
        <v>1277</v>
      </c>
      <c r="C534" s="271" t="s">
        <v>872</v>
      </c>
      <c r="D534" s="271" t="s">
        <v>162</v>
      </c>
      <c r="E534" s="271" t="s">
        <v>100</v>
      </c>
      <c r="F534" s="272">
        <v>0</v>
      </c>
      <c r="G534" s="272">
        <v>0</v>
      </c>
      <c r="H534" s="271"/>
    </row>
    <row r="535" spans="1:8">
      <c r="A535" s="271" t="s">
        <v>1278</v>
      </c>
      <c r="B535" s="271" t="s">
        <v>1279</v>
      </c>
      <c r="C535" s="271" t="s">
        <v>872</v>
      </c>
      <c r="D535" s="271" t="s">
        <v>162</v>
      </c>
      <c r="E535" s="271" t="s">
        <v>100</v>
      </c>
      <c r="F535" s="272">
        <v>0</v>
      </c>
      <c r="G535" s="272">
        <v>0</v>
      </c>
      <c r="H535" s="271"/>
    </row>
    <row r="536" spans="1:8">
      <c r="A536" s="271" t="s">
        <v>1280</v>
      </c>
      <c r="B536" s="271" t="s">
        <v>1281</v>
      </c>
      <c r="C536" s="271" t="s">
        <v>872</v>
      </c>
      <c r="D536" s="271" t="s">
        <v>162</v>
      </c>
      <c r="E536" s="271" t="s">
        <v>100</v>
      </c>
      <c r="F536" s="272">
        <v>0</v>
      </c>
      <c r="G536" s="272">
        <v>0</v>
      </c>
      <c r="H536" s="271"/>
    </row>
    <row r="537" spans="1:8">
      <c r="A537" s="271" t="s">
        <v>1282</v>
      </c>
      <c r="B537" s="271" t="s">
        <v>251</v>
      </c>
      <c r="C537" s="271" t="s">
        <v>872</v>
      </c>
      <c r="D537" s="271" t="s">
        <v>169</v>
      </c>
      <c r="E537" s="271" t="s">
        <v>1283</v>
      </c>
      <c r="F537" s="272">
        <v>0</v>
      </c>
      <c r="G537" s="272">
        <v>0</v>
      </c>
      <c r="H537" s="271"/>
    </row>
    <row r="538" spans="1:8">
      <c r="A538" s="271" t="s">
        <v>1284</v>
      </c>
      <c r="B538" s="271" t="s">
        <v>278</v>
      </c>
      <c r="C538" s="271" t="s">
        <v>872</v>
      </c>
      <c r="D538" s="271" t="s">
        <v>169</v>
      </c>
      <c r="E538" s="271" t="s">
        <v>1285</v>
      </c>
      <c r="F538" s="272">
        <v>0</v>
      </c>
      <c r="G538" s="272">
        <v>0</v>
      </c>
      <c r="H538" s="271"/>
    </row>
    <row r="539" spans="1:8">
      <c r="A539" s="271" t="s">
        <v>1286</v>
      </c>
      <c r="B539" s="271" t="s">
        <v>281</v>
      </c>
      <c r="C539" s="271" t="s">
        <v>872</v>
      </c>
      <c r="D539" s="271" t="s">
        <v>157</v>
      </c>
      <c r="E539" s="271" t="s">
        <v>100</v>
      </c>
      <c r="F539" s="272">
        <v>0</v>
      </c>
      <c r="G539" s="272">
        <v>0</v>
      </c>
      <c r="H539" s="271"/>
    </row>
    <row r="540" spans="1:8">
      <c r="A540" s="271" t="s">
        <v>1287</v>
      </c>
      <c r="B540" s="271" t="s">
        <v>1288</v>
      </c>
      <c r="C540" s="271" t="s">
        <v>872</v>
      </c>
      <c r="D540" s="271" t="s">
        <v>157</v>
      </c>
      <c r="E540" s="271" t="s">
        <v>100</v>
      </c>
      <c r="F540" s="272">
        <v>0</v>
      </c>
      <c r="G540" s="272">
        <v>0</v>
      </c>
      <c r="H540" s="271"/>
    </row>
    <row r="541" spans="1:8">
      <c r="A541" s="271" t="s">
        <v>1289</v>
      </c>
      <c r="B541" s="271" t="s">
        <v>47</v>
      </c>
      <c r="C541" s="271" t="s">
        <v>872</v>
      </c>
      <c r="D541" s="271" t="s">
        <v>162</v>
      </c>
      <c r="E541" s="271" t="s">
        <v>100</v>
      </c>
      <c r="F541" s="272">
        <v>124785.85</v>
      </c>
      <c r="G541" s="272">
        <v>201601.92000000001</v>
      </c>
      <c r="H541" s="271"/>
    </row>
    <row r="542" spans="1:8">
      <c r="A542" s="271" t="s">
        <v>1290</v>
      </c>
      <c r="B542" s="271" t="s">
        <v>1291</v>
      </c>
      <c r="C542" s="271" t="s">
        <v>872</v>
      </c>
      <c r="D542" s="271" t="s">
        <v>162</v>
      </c>
      <c r="E542" s="271" t="s">
        <v>100</v>
      </c>
      <c r="F542" s="272">
        <v>0</v>
      </c>
      <c r="G542" s="272">
        <v>0</v>
      </c>
      <c r="H542" s="271"/>
    </row>
    <row r="543" spans="1:8">
      <c r="A543" s="271" t="s">
        <v>1292</v>
      </c>
      <c r="B543" s="271" t="s">
        <v>1293</v>
      </c>
      <c r="C543" s="271" t="s">
        <v>872</v>
      </c>
      <c r="D543" s="271" t="s">
        <v>162</v>
      </c>
      <c r="E543" s="271" t="s">
        <v>100</v>
      </c>
      <c r="F543" s="272">
        <v>12341.28</v>
      </c>
      <c r="G543" s="272">
        <v>30481.040000000001</v>
      </c>
      <c r="H543" s="271"/>
    </row>
    <row r="544" spans="1:8">
      <c r="A544" s="271" t="s">
        <v>1294</v>
      </c>
      <c r="B544" s="271" t="s">
        <v>1295</v>
      </c>
      <c r="C544" s="271" t="s">
        <v>872</v>
      </c>
      <c r="D544" s="271" t="s">
        <v>162</v>
      </c>
      <c r="E544" s="271" t="s">
        <v>100</v>
      </c>
      <c r="F544" s="272">
        <v>0</v>
      </c>
      <c r="G544" s="272">
        <v>0</v>
      </c>
      <c r="H544" s="271"/>
    </row>
    <row r="545" spans="1:8">
      <c r="A545" s="271" t="s">
        <v>1296</v>
      </c>
      <c r="B545" s="271" t="s">
        <v>1297</v>
      </c>
      <c r="C545" s="271" t="s">
        <v>872</v>
      </c>
      <c r="D545" s="271" t="s">
        <v>162</v>
      </c>
      <c r="E545" s="271" t="s">
        <v>100</v>
      </c>
      <c r="F545" s="272">
        <v>0</v>
      </c>
      <c r="G545" s="272">
        <v>0</v>
      </c>
      <c r="H545" s="271"/>
    </row>
    <row r="546" spans="1:8">
      <c r="A546" s="271" t="s">
        <v>1298</v>
      </c>
      <c r="B546" s="271" t="s">
        <v>1299</v>
      </c>
      <c r="C546" s="271" t="s">
        <v>872</v>
      </c>
      <c r="D546" s="271" t="s">
        <v>162</v>
      </c>
      <c r="E546" s="271" t="s">
        <v>100</v>
      </c>
      <c r="F546" s="272">
        <v>4000</v>
      </c>
      <c r="G546" s="272">
        <v>4100</v>
      </c>
      <c r="H546" s="271"/>
    </row>
    <row r="547" spans="1:8">
      <c r="A547" s="271" t="s">
        <v>1300</v>
      </c>
      <c r="B547" s="271" t="s">
        <v>1301</v>
      </c>
      <c r="C547" s="271" t="s">
        <v>872</v>
      </c>
      <c r="D547" s="271" t="s">
        <v>162</v>
      </c>
      <c r="E547" s="271" t="s">
        <v>100</v>
      </c>
      <c r="F547" s="272">
        <v>0</v>
      </c>
      <c r="G547" s="272">
        <v>0</v>
      </c>
      <c r="H547" s="271"/>
    </row>
    <row r="548" spans="1:8">
      <c r="A548" s="271" t="s">
        <v>1302</v>
      </c>
      <c r="B548" s="271" t="s">
        <v>1303</v>
      </c>
      <c r="C548" s="271" t="s">
        <v>872</v>
      </c>
      <c r="D548" s="271" t="s">
        <v>162</v>
      </c>
      <c r="E548" s="271" t="s">
        <v>100</v>
      </c>
      <c r="F548" s="272">
        <v>19321.73</v>
      </c>
      <c r="G548" s="272">
        <v>45951.67</v>
      </c>
      <c r="H548" s="271"/>
    </row>
    <row r="549" spans="1:8">
      <c r="A549" s="271" t="s">
        <v>1304</v>
      </c>
      <c r="B549" s="271" t="s">
        <v>664</v>
      </c>
      <c r="C549" s="271" t="s">
        <v>872</v>
      </c>
      <c r="D549" s="271" t="s">
        <v>162</v>
      </c>
      <c r="E549" s="271" t="s">
        <v>100</v>
      </c>
      <c r="F549" s="272">
        <v>11106.89</v>
      </c>
      <c r="G549" s="272">
        <v>28939.56</v>
      </c>
      <c r="H549" s="271"/>
    </row>
    <row r="550" spans="1:8">
      <c r="A550" s="271" t="s">
        <v>1305</v>
      </c>
      <c r="B550" s="271" t="s">
        <v>1306</v>
      </c>
      <c r="C550" s="271" t="s">
        <v>872</v>
      </c>
      <c r="D550" s="271" t="s">
        <v>162</v>
      </c>
      <c r="E550" s="271" t="s">
        <v>100</v>
      </c>
      <c r="F550" s="272">
        <v>1100.8</v>
      </c>
      <c r="G550" s="272">
        <v>42808.33</v>
      </c>
      <c r="H550" s="271"/>
    </row>
    <row r="551" spans="1:8">
      <c r="A551" s="271" t="s">
        <v>1307</v>
      </c>
      <c r="B551" s="271" t="s">
        <v>1308</v>
      </c>
      <c r="C551" s="271" t="s">
        <v>872</v>
      </c>
      <c r="D551" s="271" t="s">
        <v>162</v>
      </c>
      <c r="E551" s="271" t="s">
        <v>100</v>
      </c>
      <c r="F551" s="272">
        <v>0</v>
      </c>
      <c r="G551" s="272">
        <v>0</v>
      </c>
      <c r="H551" s="271"/>
    </row>
    <row r="552" spans="1:8">
      <c r="A552" s="271" t="s">
        <v>1309</v>
      </c>
      <c r="B552" s="271" t="s">
        <v>1310</v>
      </c>
      <c r="C552" s="271" t="s">
        <v>872</v>
      </c>
      <c r="D552" s="271" t="s">
        <v>162</v>
      </c>
      <c r="E552" s="271" t="s">
        <v>100</v>
      </c>
      <c r="F552" s="272">
        <v>0</v>
      </c>
      <c r="G552" s="272">
        <v>0</v>
      </c>
      <c r="H552" s="271"/>
    </row>
    <row r="553" spans="1:8">
      <c r="A553" s="271" t="s">
        <v>1311</v>
      </c>
      <c r="B553" s="271" t="s">
        <v>1312</v>
      </c>
      <c r="C553" s="271" t="s">
        <v>872</v>
      </c>
      <c r="D553" s="271" t="s">
        <v>162</v>
      </c>
      <c r="E553" s="271" t="s">
        <v>100</v>
      </c>
      <c r="F553" s="272">
        <v>0</v>
      </c>
      <c r="G553" s="272">
        <v>449</v>
      </c>
      <c r="H553" s="271"/>
    </row>
    <row r="554" spans="1:8">
      <c r="A554" s="271" t="s">
        <v>1313</v>
      </c>
      <c r="B554" s="271" t="s">
        <v>1314</v>
      </c>
      <c r="C554" s="271" t="s">
        <v>872</v>
      </c>
      <c r="D554" s="271" t="s">
        <v>162</v>
      </c>
      <c r="E554" s="271" t="s">
        <v>100</v>
      </c>
      <c r="F554" s="272">
        <v>0</v>
      </c>
      <c r="G554" s="272">
        <v>0</v>
      </c>
      <c r="H554" s="271"/>
    </row>
    <row r="555" spans="1:8">
      <c r="A555" s="271" t="s">
        <v>1315</v>
      </c>
      <c r="B555" s="271" t="s">
        <v>1316</v>
      </c>
      <c r="C555" s="271" t="s">
        <v>872</v>
      </c>
      <c r="D555" s="271" t="s">
        <v>162</v>
      </c>
      <c r="E555" s="271" t="s">
        <v>100</v>
      </c>
      <c r="F555" s="272">
        <v>0</v>
      </c>
      <c r="G555" s="272">
        <v>0</v>
      </c>
      <c r="H555" s="271"/>
    </row>
    <row r="556" spans="1:8">
      <c r="A556" s="271" t="s">
        <v>1317</v>
      </c>
      <c r="B556" s="271" t="s">
        <v>1318</v>
      </c>
      <c r="C556" s="271" t="s">
        <v>872</v>
      </c>
      <c r="D556" s="271" t="s">
        <v>162</v>
      </c>
      <c r="E556" s="271" t="s">
        <v>100</v>
      </c>
      <c r="F556" s="272">
        <v>0</v>
      </c>
      <c r="G556" s="272">
        <v>0</v>
      </c>
      <c r="H556" s="271"/>
    </row>
    <row r="557" spans="1:8">
      <c r="A557" s="271" t="s">
        <v>1319</v>
      </c>
      <c r="B557" s="271" t="s">
        <v>1320</v>
      </c>
      <c r="C557" s="271" t="s">
        <v>872</v>
      </c>
      <c r="D557" s="271" t="s">
        <v>169</v>
      </c>
      <c r="E557" s="271" t="s">
        <v>1321</v>
      </c>
      <c r="F557" s="272">
        <v>172656.55</v>
      </c>
      <c r="G557" s="272">
        <v>354331.52</v>
      </c>
      <c r="H557" s="271"/>
    </row>
    <row r="558" spans="1:8">
      <c r="A558" s="271" t="s">
        <v>1322</v>
      </c>
      <c r="B558" s="271" t="s">
        <v>1323</v>
      </c>
      <c r="C558" s="271" t="s">
        <v>872</v>
      </c>
      <c r="D558" s="271" t="s">
        <v>157</v>
      </c>
      <c r="E558" s="271" t="s">
        <v>100</v>
      </c>
      <c r="F558" s="272">
        <v>0</v>
      </c>
      <c r="G558" s="272">
        <v>0</v>
      </c>
      <c r="H558" s="271"/>
    </row>
    <row r="559" spans="1:8">
      <c r="A559" s="271" t="s">
        <v>1324</v>
      </c>
      <c r="B559" s="271" t="s">
        <v>1325</v>
      </c>
      <c r="C559" s="271" t="s">
        <v>872</v>
      </c>
      <c r="D559" s="271" t="s">
        <v>162</v>
      </c>
      <c r="E559" s="271" t="s">
        <v>100</v>
      </c>
      <c r="F559" s="272">
        <v>0</v>
      </c>
      <c r="G559" s="272">
        <v>0</v>
      </c>
      <c r="H559" s="271"/>
    </row>
    <row r="560" spans="1:8">
      <c r="A560" s="271" t="s">
        <v>1326</v>
      </c>
      <c r="B560" s="271" t="s">
        <v>1327</v>
      </c>
      <c r="C560" s="271" t="s">
        <v>872</v>
      </c>
      <c r="D560" s="271" t="s">
        <v>162</v>
      </c>
      <c r="E560" s="271" t="s">
        <v>100</v>
      </c>
      <c r="F560" s="272">
        <v>0</v>
      </c>
      <c r="G560" s="272">
        <v>0</v>
      </c>
      <c r="H560" s="271"/>
    </row>
    <row r="561" spans="1:8">
      <c r="A561" s="271" t="s">
        <v>1328</v>
      </c>
      <c r="B561" s="271" t="s">
        <v>1329</v>
      </c>
      <c r="C561" s="271" t="s">
        <v>872</v>
      </c>
      <c r="D561" s="271" t="s">
        <v>162</v>
      </c>
      <c r="E561" s="271" t="s">
        <v>100</v>
      </c>
      <c r="F561" s="272">
        <v>0</v>
      </c>
      <c r="G561" s="272">
        <v>0</v>
      </c>
      <c r="H561" s="271"/>
    </row>
    <row r="562" spans="1:8">
      <c r="A562" s="271" t="s">
        <v>1330</v>
      </c>
      <c r="B562" s="271" t="s">
        <v>1331</v>
      </c>
      <c r="C562" s="271" t="s">
        <v>872</v>
      </c>
      <c r="D562" s="271" t="s">
        <v>162</v>
      </c>
      <c r="E562" s="271" t="s">
        <v>100</v>
      </c>
      <c r="F562" s="272">
        <v>0</v>
      </c>
      <c r="G562" s="272">
        <v>0</v>
      </c>
      <c r="H562" s="271"/>
    </row>
    <row r="563" spans="1:8">
      <c r="A563" s="271" t="s">
        <v>1332</v>
      </c>
      <c r="B563" s="271" t="s">
        <v>1333</v>
      </c>
      <c r="C563" s="271" t="s">
        <v>872</v>
      </c>
      <c r="D563" s="271" t="s">
        <v>169</v>
      </c>
      <c r="E563" s="271" t="s">
        <v>1334</v>
      </c>
      <c r="F563" s="272">
        <v>0</v>
      </c>
      <c r="G563" s="272">
        <v>0</v>
      </c>
      <c r="H563" s="271"/>
    </row>
    <row r="564" spans="1:8">
      <c r="A564" s="271" t="s">
        <v>1335</v>
      </c>
      <c r="B564" s="271" t="s">
        <v>1336</v>
      </c>
      <c r="C564" s="271" t="s">
        <v>872</v>
      </c>
      <c r="D564" s="271" t="s">
        <v>157</v>
      </c>
      <c r="E564" s="271" t="s">
        <v>100</v>
      </c>
      <c r="F564" s="272">
        <v>0</v>
      </c>
      <c r="G564" s="272">
        <v>0</v>
      </c>
      <c r="H564" s="271"/>
    </row>
    <row r="565" spans="1:8">
      <c r="A565" s="271" t="s">
        <v>1337</v>
      </c>
      <c r="B565" s="271" t="s">
        <v>1338</v>
      </c>
      <c r="C565" s="271" t="s">
        <v>872</v>
      </c>
      <c r="D565" s="271" t="s">
        <v>162</v>
      </c>
      <c r="E565" s="271" t="s">
        <v>100</v>
      </c>
      <c r="F565" s="272">
        <v>0</v>
      </c>
      <c r="G565" s="272">
        <v>0</v>
      </c>
      <c r="H565" s="271"/>
    </row>
    <row r="566" spans="1:8">
      <c r="A566" s="271" t="s">
        <v>1339</v>
      </c>
      <c r="B566" s="271" t="s">
        <v>1340</v>
      </c>
      <c r="C566" s="271" t="s">
        <v>872</v>
      </c>
      <c r="D566" s="271" t="s">
        <v>162</v>
      </c>
      <c r="E566" s="271" t="s">
        <v>100</v>
      </c>
      <c r="F566" s="272">
        <v>5000</v>
      </c>
      <c r="G566" s="272">
        <v>14505</v>
      </c>
      <c r="H566" s="271"/>
    </row>
    <row r="567" spans="1:8">
      <c r="A567" s="271" t="s">
        <v>1341</v>
      </c>
      <c r="B567" s="271" t="s">
        <v>1342</v>
      </c>
      <c r="C567" s="271" t="s">
        <v>872</v>
      </c>
      <c r="D567" s="271" t="s">
        <v>162</v>
      </c>
      <c r="E567" s="271" t="s">
        <v>100</v>
      </c>
      <c r="F567" s="272">
        <v>0</v>
      </c>
      <c r="G567" s="272">
        <v>0</v>
      </c>
      <c r="H567" s="271"/>
    </row>
    <row r="568" spans="1:8">
      <c r="A568" s="271" t="s">
        <v>1343</v>
      </c>
      <c r="B568" s="271" t="s">
        <v>1344</v>
      </c>
      <c r="C568" s="271" t="s">
        <v>872</v>
      </c>
      <c r="D568" s="271" t="s">
        <v>162</v>
      </c>
      <c r="E568" s="271" t="s">
        <v>100</v>
      </c>
      <c r="F568" s="272">
        <v>0</v>
      </c>
      <c r="G568" s="272">
        <v>0</v>
      </c>
      <c r="H568" s="271"/>
    </row>
    <row r="569" spans="1:8">
      <c r="A569" s="271" t="s">
        <v>1345</v>
      </c>
      <c r="B569" s="271" t="s">
        <v>1346</v>
      </c>
      <c r="C569" s="271" t="s">
        <v>872</v>
      </c>
      <c r="D569" s="271" t="s">
        <v>162</v>
      </c>
      <c r="E569" s="271" t="s">
        <v>100</v>
      </c>
      <c r="F569" s="272">
        <v>0</v>
      </c>
      <c r="G569" s="272">
        <v>0</v>
      </c>
      <c r="H569" s="271"/>
    </row>
    <row r="570" spans="1:8">
      <c r="A570" s="271" t="s">
        <v>1347</v>
      </c>
      <c r="B570" s="271" t="s">
        <v>1348</v>
      </c>
      <c r="C570" s="271" t="s">
        <v>872</v>
      </c>
      <c r="D570" s="271" t="s">
        <v>162</v>
      </c>
      <c r="E570" s="271" t="s">
        <v>100</v>
      </c>
      <c r="F570" s="272">
        <v>0</v>
      </c>
      <c r="G570" s="272">
        <v>0</v>
      </c>
      <c r="H570" s="271"/>
    </row>
    <row r="571" spans="1:8">
      <c r="A571" s="271" t="s">
        <v>1349</v>
      </c>
      <c r="B571" s="271" t="s">
        <v>1350</v>
      </c>
      <c r="C571" s="271" t="s">
        <v>872</v>
      </c>
      <c r="D571" s="271" t="s">
        <v>162</v>
      </c>
      <c r="E571" s="271" t="s">
        <v>100</v>
      </c>
      <c r="F571" s="272">
        <v>0</v>
      </c>
      <c r="G571" s="272">
        <v>0</v>
      </c>
      <c r="H571" s="271"/>
    </row>
    <row r="572" spans="1:8">
      <c r="A572" s="271" t="s">
        <v>1351</v>
      </c>
      <c r="B572" s="271" t="s">
        <v>1352</v>
      </c>
      <c r="C572" s="271" t="s">
        <v>872</v>
      </c>
      <c r="D572" s="271" t="s">
        <v>162</v>
      </c>
      <c r="E572" s="271" t="s">
        <v>100</v>
      </c>
      <c r="F572" s="272">
        <v>0</v>
      </c>
      <c r="G572" s="272">
        <v>0</v>
      </c>
      <c r="H572" s="271"/>
    </row>
    <row r="573" spans="1:8">
      <c r="A573" s="271" t="s">
        <v>1353</v>
      </c>
      <c r="B573" s="271" t="s">
        <v>1354</v>
      </c>
      <c r="C573" s="271" t="s">
        <v>872</v>
      </c>
      <c r="D573" s="271" t="s">
        <v>162</v>
      </c>
      <c r="E573" s="271" t="s">
        <v>100</v>
      </c>
      <c r="F573" s="272">
        <v>0</v>
      </c>
      <c r="G573" s="272">
        <v>0</v>
      </c>
      <c r="H573" s="271"/>
    </row>
    <row r="574" spans="1:8">
      <c r="A574" s="271" t="s">
        <v>1355</v>
      </c>
      <c r="B574" s="271" t="s">
        <v>1356</v>
      </c>
      <c r="C574" s="271" t="s">
        <v>872</v>
      </c>
      <c r="D574" s="271" t="s">
        <v>162</v>
      </c>
      <c r="E574" s="271" t="s">
        <v>100</v>
      </c>
      <c r="F574" s="272">
        <v>0</v>
      </c>
      <c r="G574" s="272">
        <v>0</v>
      </c>
      <c r="H574" s="271"/>
    </row>
    <row r="575" spans="1:8">
      <c r="A575" s="271" t="s">
        <v>1357</v>
      </c>
      <c r="B575" s="271" t="s">
        <v>1358</v>
      </c>
      <c r="C575" s="271" t="s">
        <v>872</v>
      </c>
      <c r="D575" s="271" t="s">
        <v>162</v>
      </c>
      <c r="E575" s="271" t="s">
        <v>100</v>
      </c>
      <c r="F575" s="272">
        <v>0</v>
      </c>
      <c r="G575" s="272">
        <v>0</v>
      </c>
      <c r="H575" s="271"/>
    </row>
    <row r="576" spans="1:8">
      <c r="A576" s="271" t="s">
        <v>1359</v>
      </c>
      <c r="B576" s="271" t="s">
        <v>1360</v>
      </c>
      <c r="C576" s="271" t="s">
        <v>872</v>
      </c>
      <c r="D576" s="271" t="s">
        <v>162</v>
      </c>
      <c r="E576" s="271" t="s">
        <v>100</v>
      </c>
      <c r="F576" s="272">
        <v>0</v>
      </c>
      <c r="G576" s="272">
        <v>0</v>
      </c>
      <c r="H576" s="271"/>
    </row>
    <row r="577" spans="1:8">
      <c r="A577" s="271" t="s">
        <v>1361</v>
      </c>
      <c r="B577" s="271" t="s">
        <v>1362</v>
      </c>
      <c r="C577" s="271" t="s">
        <v>872</v>
      </c>
      <c r="D577" s="271" t="s">
        <v>162</v>
      </c>
      <c r="E577" s="271" t="s">
        <v>100</v>
      </c>
      <c r="F577" s="272">
        <v>0</v>
      </c>
      <c r="G577" s="272">
        <v>1159</v>
      </c>
      <c r="H577" s="271"/>
    </row>
    <row r="578" spans="1:8">
      <c r="A578" s="271" t="s">
        <v>1363</v>
      </c>
      <c r="B578" s="271" t="s">
        <v>1364</v>
      </c>
      <c r="C578" s="271" t="s">
        <v>872</v>
      </c>
      <c r="D578" s="271" t="s">
        <v>162</v>
      </c>
      <c r="E578" s="271" t="s">
        <v>100</v>
      </c>
      <c r="F578" s="272">
        <v>0</v>
      </c>
      <c r="G578" s="272">
        <v>0</v>
      </c>
      <c r="H578" s="271"/>
    </row>
    <row r="579" spans="1:8">
      <c r="A579" s="271" t="s">
        <v>1365</v>
      </c>
      <c r="B579" s="271" t="s">
        <v>1366</v>
      </c>
      <c r="C579" s="271" t="s">
        <v>872</v>
      </c>
      <c r="D579" s="271" t="s">
        <v>162</v>
      </c>
      <c r="E579" s="271" t="s">
        <v>100</v>
      </c>
      <c r="F579" s="272">
        <v>0</v>
      </c>
      <c r="G579" s="272">
        <v>0</v>
      </c>
      <c r="H579" s="271"/>
    </row>
    <row r="580" spans="1:8">
      <c r="A580" s="271" t="s">
        <v>1367</v>
      </c>
      <c r="B580" s="271" t="s">
        <v>495</v>
      </c>
      <c r="C580" s="271" t="s">
        <v>872</v>
      </c>
      <c r="D580" s="271" t="s">
        <v>162</v>
      </c>
      <c r="E580" s="271" t="s">
        <v>100</v>
      </c>
      <c r="F580" s="272">
        <v>0</v>
      </c>
      <c r="G580" s="272">
        <v>0</v>
      </c>
      <c r="H580" s="271"/>
    </row>
    <row r="581" spans="1:8">
      <c r="A581" s="271" t="s">
        <v>1368</v>
      </c>
      <c r="B581" s="271" t="s">
        <v>1369</v>
      </c>
      <c r="C581" s="271" t="s">
        <v>872</v>
      </c>
      <c r="D581" s="271" t="s">
        <v>162</v>
      </c>
      <c r="E581" s="271" t="s">
        <v>100</v>
      </c>
      <c r="F581" s="272">
        <v>0</v>
      </c>
      <c r="G581" s="272">
        <v>0</v>
      </c>
      <c r="H581" s="271"/>
    </row>
    <row r="582" spans="1:8">
      <c r="A582" s="271" t="s">
        <v>1370</v>
      </c>
      <c r="B582" s="271" t="s">
        <v>1301</v>
      </c>
      <c r="C582" s="271" t="s">
        <v>872</v>
      </c>
      <c r="D582" s="271" t="s">
        <v>162</v>
      </c>
      <c r="E582" s="271" t="s">
        <v>100</v>
      </c>
      <c r="F582" s="272">
        <v>0</v>
      </c>
      <c r="G582" s="272">
        <v>0</v>
      </c>
      <c r="H582" s="271"/>
    </row>
    <row r="583" spans="1:8">
      <c r="A583" s="271" t="s">
        <v>1371</v>
      </c>
      <c r="B583" s="271" t="s">
        <v>1372</v>
      </c>
      <c r="C583" s="271" t="s">
        <v>872</v>
      </c>
      <c r="D583" s="271" t="s">
        <v>162</v>
      </c>
      <c r="E583" s="271" t="s">
        <v>100</v>
      </c>
      <c r="F583" s="272">
        <v>0</v>
      </c>
      <c r="G583" s="272">
        <v>0</v>
      </c>
      <c r="H583" s="271"/>
    </row>
    <row r="584" spans="1:8">
      <c r="A584" s="271" t="s">
        <v>1373</v>
      </c>
      <c r="B584" s="271" t="s">
        <v>1374</v>
      </c>
      <c r="C584" s="271" t="s">
        <v>872</v>
      </c>
      <c r="D584" s="271" t="s">
        <v>169</v>
      </c>
      <c r="E584" s="271" t="s">
        <v>1375</v>
      </c>
      <c r="F584" s="272">
        <v>5000</v>
      </c>
      <c r="G584" s="272">
        <v>15664</v>
      </c>
      <c r="H584" s="271"/>
    </row>
    <row r="585" spans="1:8">
      <c r="A585" s="271" t="s">
        <v>1376</v>
      </c>
      <c r="B585" s="271" t="s">
        <v>1377</v>
      </c>
      <c r="C585" s="271" t="s">
        <v>872</v>
      </c>
      <c r="D585" s="271" t="s">
        <v>157</v>
      </c>
      <c r="E585" s="271" t="s">
        <v>100</v>
      </c>
      <c r="F585" s="272">
        <v>0</v>
      </c>
      <c r="G585" s="272">
        <v>0</v>
      </c>
      <c r="H585" s="271"/>
    </row>
    <row r="586" spans="1:8">
      <c r="A586" s="271" t="s">
        <v>1378</v>
      </c>
      <c r="B586" s="271" t="s">
        <v>1379</v>
      </c>
      <c r="C586" s="271" t="s">
        <v>872</v>
      </c>
      <c r="D586" s="271" t="s">
        <v>162</v>
      </c>
      <c r="E586" s="271" t="s">
        <v>100</v>
      </c>
      <c r="F586" s="272">
        <v>0</v>
      </c>
      <c r="G586" s="272">
        <v>0</v>
      </c>
      <c r="H586" s="271"/>
    </row>
    <row r="587" spans="1:8">
      <c r="A587" s="271" t="s">
        <v>1380</v>
      </c>
      <c r="B587" s="271" t="s">
        <v>1381</v>
      </c>
      <c r="C587" s="271" t="s">
        <v>872</v>
      </c>
      <c r="D587" s="271" t="s">
        <v>169</v>
      </c>
      <c r="E587" s="271" t="s">
        <v>1382</v>
      </c>
      <c r="F587" s="272">
        <v>0</v>
      </c>
      <c r="G587" s="272">
        <v>0</v>
      </c>
      <c r="H587" s="271"/>
    </row>
    <row r="588" spans="1:8">
      <c r="A588" s="271" t="s">
        <v>1383</v>
      </c>
      <c r="B588" s="271" t="s">
        <v>1384</v>
      </c>
      <c r="C588" s="271" t="s">
        <v>872</v>
      </c>
      <c r="D588" s="271" t="s">
        <v>157</v>
      </c>
      <c r="E588" s="271" t="s">
        <v>100</v>
      </c>
      <c r="F588" s="272">
        <v>0</v>
      </c>
      <c r="G588" s="272">
        <v>0</v>
      </c>
      <c r="H588" s="271"/>
    </row>
    <row r="589" spans="1:8">
      <c r="A589" s="271" t="s">
        <v>1385</v>
      </c>
      <c r="B589" s="271" t="s">
        <v>1386</v>
      </c>
      <c r="C589" s="271" t="s">
        <v>872</v>
      </c>
      <c r="D589" s="271" t="s">
        <v>162</v>
      </c>
      <c r="E589" s="271" t="s">
        <v>100</v>
      </c>
      <c r="F589" s="272">
        <v>0</v>
      </c>
      <c r="G589" s="272">
        <v>0</v>
      </c>
      <c r="H589" s="271"/>
    </row>
    <row r="590" spans="1:8">
      <c r="A590" s="271" t="s">
        <v>1387</v>
      </c>
      <c r="B590" s="271" t="s">
        <v>1388</v>
      </c>
      <c r="C590" s="271" t="s">
        <v>872</v>
      </c>
      <c r="D590" s="271" t="s">
        <v>162</v>
      </c>
      <c r="E590" s="271" t="s">
        <v>100</v>
      </c>
      <c r="F590" s="272">
        <v>0</v>
      </c>
      <c r="G590" s="272">
        <v>0</v>
      </c>
      <c r="H590" s="271"/>
    </row>
    <row r="591" spans="1:8">
      <c r="A591" s="271" t="s">
        <v>1389</v>
      </c>
      <c r="B591" s="271" t="s">
        <v>1390</v>
      </c>
      <c r="C591" s="271" t="s">
        <v>872</v>
      </c>
      <c r="D591" s="271" t="s">
        <v>162</v>
      </c>
      <c r="E591" s="271" t="s">
        <v>100</v>
      </c>
      <c r="F591" s="272">
        <v>0</v>
      </c>
      <c r="G591" s="272">
        <v>0</v>
      </c>
      <c r="H591" s="271"/>
    </row>
    <row r="592" spans="1:8">
      <c r="A592" s="271" t="s">
        <v>1391</v>
      </c>
      <c r="B592" s="271" t="s">
        <v>1392</v>
      </c>
      <c r="C592" s="271" t="s">
        <v>872</v>
      </c>
      <c r="D592" s="271" t="s">
        <v>169</v>
      </c>
      <c r="E592" s="271" t="s">
        <v>1393</v>
      </c>
      <c r="F592" s="272">
        <v>0</v>
      </c>
      <c r="G592" s="272">
        <v>0</v>
      </c>
      <c r="H592" s="271"/>
    </row>
    <row r="593" spans="1:8">
      <c r="A593" s="271" t="s">
        <v>1394</v>
      </c>
      <c r="B593" s="271" t="s">
        <v>1152</v>
      </c>
      <c r="C593" s="271" t="s">
        <v>872</v>
      </c>
      <c r="D593" s="271" t="s">
        <v>169</v>
      </c>
      <c r="E593" s="271" t="s">
        <v>1395</v>
      </c>
      <c r="F593" s="272">
        <v>177656.55</v>
      </c>
      <c r="G593" s="272">
        <v>369995.52000000002</v>
      </c>
      <c r="H593" s="271"/>
    </row>
    <row r="594" spans="1:8">
      <c r="A594" s="271" t="s">
        <v>1396</v>
      </c>
      <c r="B594" s="271" t="s">
        <v>1397</v>
      </c>
      <c r="C594" s="271" t="s">
        <v>872</v>
      </c>
      <c r="D594" s="271" t="s">
        <v>169</v>
      </c>
      <c r="E594" s="271" t="s">
        <v>1398</v>
      </c>
      <c r="F594" s="272">
        <v>177656.55</v>
      </c>
      <c r="G594" s="272">
        <v>369995.52000000002</v>
      </c>
      <c r="H594" s="271"/>
    </row>
    <row r="595" spans="1:8">
      <c r="A595" s="271" t="s">
        <v>1399</v>
      </c>
      <c r="B595" s="271" t="s">
        <v>1400</v>
      </c>
      <c r="C595" s="271" t="s">
        <v>872</v>
      </c>
      <c r="D595" s="271" t="s">
        <v>157</v>
      </c>
      <c r="E595" s="271" t="s">
        <v>100</v>
      </c>
      <c r="F595" s="272">
        <v>0</v>
      </c>
      <c r="G595" s="272">
        <v>0</v>
      </c>
      <c r="H595" s="271"/>
    </row>
    <row r="596" spans="1:8">
      <c r="A596" s="271" t="s">
        <v>1401</v>
      </c>
      <c r="B596" s="271" t="s">
        <v>1402</v>
      </c>
      <c r="C596" s="271" t="s">
        <v>872</v>
      </c>
      <c r="D596" s="271" t="s">
        <v>162</v>
      </c>
      <c r="E596" s="271" t="s">
        <v>100</v>
      </c>
      <c r="F596" s="272">
        <v>-5772.12</v>
      </c>
      <c r="G596" s="272">
        <v>-5772.12</v>
      </c>
      <c r="H596" s="271"/>
    </row>
    <row r="597" spans="1:8">
      <c r="A597" s="271" t="s">
        <v>1403</v>
      </c>
      <c r="B597" s="271" t="s">
        <v>1404</v>
      </c>
      <c r="C597" s="271" t="s">
        <v>872</v>
      </c>
      <c r="D597" s="271" t="s">
        <v>162</v>
      </c>
      <c r="E597" s="271" t="s">
        <v>100</v>
      </c>
      <c r="F597" s="272">
        <v>0</v>
      </c>
      <c r="G597" s="272">
        <v>0</v>
      </c>
      <c r="H597" s="271"/>
    </row>
    <row r="598" spans="1:8">
      <c r="A598" s="271" t="s">
        <v>1405</v>
      </c>
      <c r="B598" s="271" t="s">
        <v>1406</v>
      </c>
      <c r="C598" s="271" t="s">
        <v>872</v>
      </c>
      <c r="D598" s="271" t="s">
        <v>162</v>
      </c>
      <c r="E598" s="271" t="s">
        <v>100</v>
      </c>
      <c r="F598" s="272">
        <v>17541</v>
      </c>
      <c r="G598" s="272">
        <v>0.05</v>
      </c>
      <c r="H598" s="271"/>
    </row>
    <row r="599" spans="1:8">
      <c r="A599" s="271" t="s">
        <v>1407</v>
      </c>
      <c r="B599" s="271" t="s">
        <v>1408</v>
      </c>
      <c r="C599" s="271" t="s">
        <v>872</v>
      </c>
      <c r="D599" s="271" t="s">
        <v>169</v>
      </c>
      <c r="E599" s="271" t="s">
        <v>1409</v>
      </c>
      <c r="F599" s="272">
        <v>11768.88</v>
      </c>
      <c r="G599" s="272">
        <v>-5772.07</v>
      </c>
      <c r="H599" s="271"/>
    </row>
    <row r="600" spans="1:8">
      <c r="A600" s="271" t="s">
        <v>1410</v>
      </c>
      <c r="B600" s="271" t="s">
        <v>1411</v>
      </c>
      <c r="C600" s="271" t="s">
        <v>872</v>
      </c>
      <c r="D600" s="271" t="s">
        <v>157</v>
      </c>
      <c r="E600" s="271" t="s">
        <v>100</v>
      </c>
      <c r="F600" s="272">
        <v>0</v>
      </c>
      <c r="G600" s="272">
        <v>0</v>
      </c>
      <c r="H600" s="271"/>
    </row>
    <row r="601" spans="1:8">
      <c r="A601" s="271" t="s">
        <v>1412</v>
      </c>
      <c r="B601" s="271" t="s">
        <v>1413</v>
      </c>
      <c r="C601" s="271" t="s">
        <v>872</v>
      </c>
      <c r="D601" s="271" t="s">
        <v>162</v>
      </c>
      <c r="E601" s="271" t="s">
        <v>100</v>
      </c>
      <c r="F601" s="272">
        <v>0</v>
      </c>
      <c r="G601" s="272">
        <v>0</v>
      </c>
      <c r="H601" s="271"/>
    </row>
    <row r="602" spans="1:8">
      <c r="A602" s="271" t="s">
        <v>1414</v>
      </c>
      <c r="B602" s="271" t="s">
        <v>1415</v>
      </c>
      <c r="C602" s="271" t="s">
        <v>872</v>
      </c>
      <c r="D602" s="271" t="s">
        <v>162</v>
      </c>
      <c r="E602" s="271" t="s">
        <v>100</v>
      </c>
      <c r="F602" s="272">
        <v>8134.85</v>
      </c>
      <c r="G602" s="272">
        <v>8134.85</v>
      </c>
      <c r="H602" s="271"/>
    </row>
    <row r="603" spans="1:8">
      <c r="A603" s="271" t="s">
        <v>1416</v>
      </c>
      <c r="B603" s="271" t="s">
        <v>1417</v>
      </c>
      <c r="C603" s="271" t="s">
        <v>872</v>
      </c>
      <c r="D603" s="271" t="s">
        <v>162</v>
      </c>
      <c r="E603" s="271" t="s">
        <v>100</v>
      </c>
      <c r="F603" s="272">
        <v>-20459</v>
      </c>
      <c r="G603" s="272">
        <v>-22073.03</v>
      </c>
      <c r="H603" s="271"/>
    </row>
    <row r="604" spans="1:8">
      <c r="A604" s="271" t="s">
        <v>1418</v>
      </c>
      <c r="B604" s="271" t="s">
        <v>515</v>
      </c>
      <c r="C604" s="271" t="s">
        <v>872</v>
      </c>
      <c r="D604" s="271" t="s">
        <v>162</v>
      </c>
      <c r="E604" s="271" t="s">
        <v>100</v>
      </c>
      <c r="F604" s="272">
        <v>-31198.52</v>
      </c>
      <c r="G604" s="272">
        <v>-1808536.59</v>
      </c>
      <c r="H604" s="271"/>
    </row>
    <row r="605" spans="1:8">
      <c r="A605" s="271" t="s">
        <v>1419</v>
      </c>
      <c r="B605" s="271" t="s">
        <v>1420</v>
      </c>
      <c r="C605" s="271" t="s">
        <v>872</v>
      </c>
      <c r="D605" s="271" t="s">
        <v>169</v>
      </c>
      <c r="E605" s="271" t="s">
        <v>1421</v>
      </c>
      <c r="F605" s="272">
        <v>-43522.67</v>
      </c>
      <c r="G605" s="272">
        <v>-1822474.77</v>
      </c>
      <c r="H605" s="271"/>
    </row>
    <row r="606" spans="1:8">
      <c r="A606" s="271" t="s">
        <v>1422</v>
      </c>
      <c r="B606" s="271" t="s">
        <v>1423</v>
      </c>
      <c r="C606" s="271" t="s">
        <v>872</v>
      </c>
      <c r="D606" s="271" t="s">
        <v>157</v>
      </c>
      <c r="E606" s="271" t="s">
        <v>100</v>
      </c>
      <c r="F606" s="272">
        <v>0</v>
      </c>
      <c r="G606" s="272">
        <v>0</v>
      </c>
      <c r="H606" s="271"/>
    </row>
    <row r="607" spans="1:8">
      <c r="A607" s="271" t="s">
        <v>1424</v>
      </c>
      <c r="B607" s="271" t="s">
        <v>1425</v>
      </c>
      <c r="C607" s="271" t="s">
        <v>872</v>
      </c>
      <c r="D607" s="271" t="s">
        <v>162</v>
      </c>
      <c r="E607" s="271" t="s">
        <v>100</v>
      </c>
      <c r="F607" s="272">
        <v>0</v>
      </c>
      <c r="G607" s="272">
        <v>3520.87</v>
      </c>
      <c r="H607" s="271"/>
    </row>
    <row r="608" spans="1:8">
      <c r="A608" s="271" t="s">
        <v>1426</v>
      </c>
      <c r="B608" s="271" t="s">
        <v>1427</v>
      </c>
      <c r="C608" s="271" t="s">
        <v>872</v>
      </c>
      <c r="D608" s="271" t="s">
        <v>162</v>
      </c>
      <c r="E608" s="271" t="s">
        <v>100</v>
      </c>
      <c r="F608" s="272">
        <v>-5185</v>
      </c>
      <c r="G608" s="272">
        <v>-696</v>
      </c>
      <c r="H608" s="271"/>
    </row>
    <row r="609" spans="1:8">
      <c r="A609" s="271" t="s">
        <v>1428</v>
      </c>
      <c r="B609" s="271" t="s">
        <v>1429</v>
      </c>
      <c r="C609" s="271" t="s">
        <v>872</v>
      </c>
      <c r="D609" s="271" t="s">
        <v>162</v>
      </c>
      <c r="E609" s="271" t="s">
        <v>100</v>
      </c>
      <c r="F609" s="272">
        <v>-3162</v>
      </c>
      <c r="G609" s="272">
        <v>-15961.94</v>
      </c>
      <c r="H609" s="271"/>
    </row>
    <row r="610" spans="1:8">
      <c r="A610" s="271" t="s">
        <v>1430</v>
      </c>
      <c r="B610" s="271" t="s">
        <v>1431</v>
      </c>
      <c r="C610" s="271" t="s">
        <v>872</v>
      </c>
      <c r="D610" s="271" t="s">
        <v>162</v>
      </c>
      <c r="E610" s="271" t="s">
        <v>100</v>
      </c>
      <c r="F610" s="272">
        <v>0</v>
      </c>
      <c r="G610" s="272">
        <v>0</v>
      </c>
      <c r="H610" s="271"/>
    </row>
    <row r="611" spans="1:8">
      <c r="A611" s="271" t="s">
        <v>1432</v>
      </c>
      <c r="B611" s="271" t="s">
        <v>1433</v>
      </c>
      <c r="C611" s="271" t="s">
        <v>156</v>
      </c>
      <c r="D611" s="271" t="s">
        <v>162</v>
      </c>
      <c r="E611" s="271" t="s">
        <v>100</v>
      </c>
      <c r="F611" s="272">
        <v>9000</v>
      </c>
      <c r="G611" s="272">
        <v>129521.9</v>
      </c>
      <c r="H611" s="271"/>
    </row>
    <row r="612" spans="1:8">
      <c r="A612" s="271" t="s">
        <v>1434</v>
      </c>
      <c r="B612" s="271" t="s">
        <v>1435</v>
      </c>
      <c r="C612" s="271" t="s">
        <v>156</v>
      </c>
      <c r="D612" s="271" t="s">
        <v>162</v>
      </c>
      <c r="E612" s="271" t="s">
        <v>100</v>
      </c>
      <c r="F612" s="272">
        <v>-9000</v>
      </c>
      <c r="G612" s="272">
        <v>-129521.9</v>
      </c>
      <c r="H612" s="271"/>
    </row>
    <row r="613" spans="1:8">
      <c r="A613" s="271" t="s">
        <v>1436</v>
      </c>
      <c r="B613" s="271" t="s">
        <v>1437</v>
      </c>
      <c r="C613" s="271" t="s">
        <v>872</v>
      </c>
      <c r="D613" s="271" t="s">
        <v>162</v>
      </c>
      <c r="E613" s="271" t="s">
        <v>100</v>
      </c>
      <c r="F613" s="272">
        <v>92555</v>
      </c>
      <c r="G613" s="272">
        <v>92555</v>
      </c>
      <c r="H613" s="271"/>
    </row>
    <row r="614" spans="1:8">
      <c r="A614" s="271" t="s">
        <v>1438</v>
      </c>
      <c r="B614" s="271" t="s">
        <v>1439</v>
      </c>
      <c r="C614" s="271" t="s">
        <v>872</v>
      </c>
      <c r="D614" s="271" t="s">
        <v>169</v>
      </c>
      <c r="E614" s="271" t="s">
        <v>1440</v>
      </c>
      <c r="F614" s="272">
        <v>84208</v>
      </c>
      <c r="G614" s="272">
        <v>79417.929999999993</v>
      </c>
      <c r="H614" s="271"/>
    </row>
    <row r="615" spans="1:8">
      <c r="A615" s="271" t="s">
        <v>1441</v>
      </c>
      <c r="B615" s="271" t="s">
        <v>1442</v>
      </c>
      <c r="C615" s="271" t="s">
        <v>872</v>
      </c>
      <c r="D615" s="271" t="s">
        <v>169</v>
      </c>
      <c r="E615" s="271" t="s">
        <v>1443</v>
      </c>
      <c r="F615" s="272">
        <v>677505.16</v>
      </c>
      <c r="G615" s="272">
        <v>-2659894.34</v>
      </c>
      <c r="H615" s="271"/>
    </row>
    <row r="616" spans="1:8">
      <c r="A616" s="271" t="s">
        <v>1444</v>
      </c>
      <c r="B616" s="271" t="s">
        <v>1445</v>
      </c>
      <c r="C616" s="271" t="s">
        <v>872</v>
      </c>
      <c r="D616" s="271" t="s">
        <v>169</v>
      </c>
      <c r="E616" s="271" t="s">
        <v>1446</v>
      </c>
      <c r="F616" s="272">
        <v>896358.27</v>
      </c>
      <c r="G616" s="272">
        <v>-72317225.359999999</v>
      </c>
      <c r="H616" s="27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17"/>
  <sheetViews>
    <sheetView topLeftCell="D190" workbookViewId="0">
      <selection activeCell="F177" sqref="F177"/>
    </sheetView>
  </sheetViews>
  <sheetFormatPr baseColWidth="10" defaultColWidth="8.5" defaultRowHeight="14"/>
  <cols>
    <col min="1" max="1" width="10.5" bestFit="1" customWidth="1"/>
    <col min="2" max="2" width="34.5" bestFit="1" customWidth="1"/>
    <col min="3" max="3" width="16" bestFit="1" customWidth="1"/>
    <col min="4" max="4" width="8" bestFit="1" customWidth="1"/>
    <col min="5" max="5" width="15" bestFit="1" customWidth="1"/>
    <col min="6" max="7" width="14" bestFit="1" customWidth="1"/>
    <col min="8" max="8" width="13.5" style="3" bestFit="1" customWidth="1"/>
    <col min="10" max="10" width="14.5" customWidth="1"/>
    <col min="12" max="12" width="7" bestFit="1" customWidth="1"/>
    <col min="13" max="13" width="33" bestFit="1" customWidth="1"/>
    <col min="14" max="16" width="13" bestFit="1" customWidth="1"/>
    <col min="17" max="17" width="11.5" bestFit="1" customWidth="1"/>
  </cols>
  <sheetData>
    <row r="1" spans="1:8" ht="16">
      <c r="A1" s="137" t="s">
        <v>146</v>
      </c>
      <c r="B1" s="136"/>
      <c r="C1" s="136"/>
      <c r="D1" s="136"/>
      <c r="E1" s="136"/>
      <c r="F1" s="125">
        <v>43100</v>
      </c>
      <c r="G1" s="136" t="s">
        <v>2182</v>
      </c>
      <c r="H1" s="3" t="s">
        <v>110</v>
      </c>
    </row>
    <row r="2" spans="1:8" ht="24">
      <c r="A2" s="138" t="s">
        <v>147</v>
      </c>
      <c r="B2" s="138" t="s">
        <v>148</v>
      </c>
      <c r="C2" s="138" t="s">
        <v>149</v>
      </c>
      <c r="D2" s="138" t="s">
        <v>150</v>
      </c>
      <c r="E2" s="138" t="s">
        <v>151</v>
      </c>
      <c r="F2" s="138" t="s">
        <v>152</v>
      </c>
      <c r="G2" s="138"/>
    </row>
    <row r="3" spans="1:8">
      <c r="A3" s="139" t="s">
        <v>154</v>
      </c>
      <c r="B3" s="139" t="s">
        <v>155</v>
      </c>
      <c r="C3" s="139" t="s">
        <v>156</v>
      </c>
      <c r="D3" s="139" t="s">
        <v>157</v>
      </c>
      <c r="E3" s="139" t="s">
        <v>100</v>
      </c>
      <c r="F3" s="102">
        <v>0</v>
      </c>
      <c r="G3" s="101"/>
      <c r="H3" s="103"/>
    </row>
    <row r="4" spans="1:8">
      <c r="A4" s="139" t="s">
        <v>158</v>
      </c>
      <c r="B4" s="139" t="s">
        <v>159</v>
      </c>
      <c r="C4" s="139" t="s">
        <v>156</v>
      </c>
      <c r="D4" s="139" t="s">
        <v>157</v>
      </c>
      <c r="E4" s="139" t="s">
        <v>100</v>
      </c>
      <c r="F4" s="102">
        <v>0</v>
      </c>
      <c r="G4" s="101"/>
      <c r="H4" s="103"/>
    </row>
    <row r="5" spans="1:8">
      <c r="A5" s="139" t="s">
        <v>160</v>
      </c>
      <c r="B5" s="139" t="s">
        <v>161</v>
      </c>
      <c r="C5" s="139" t="s">
        <v>156</v>
      </c>
      <c r="D5" s="139" t="s">
        <v>162</v>
      </c>
      <c r="E5" s="139" t="s">
        <v>100</v>
      </c>
      <c r="F5" s="102">
        <v>-7601095.2999999998</v>
      </c>
      <c r="G5" s="101"/>
      <c r="H5" s="103">
        <f>SUM(F5:G5)</f>
        <v>-7601095.2999999998</v>
      </c>
    </row>
    <row r="6" spans="1:8">
      <c r="A6" s="139" t="s">
        <v>163</v>
      </c>
      <c r="B6" s="139" t="s">
        <v>164</v>
      </c>
      <c r="C6" s="139" t="s">
        <v>156</v>
      </c>
      <c r="D6" s="139" t="s">
        <v>162</v>
      </c>
      <c r="E6" s="139" t="s">
        <v>100</v>
      </c>
      <c r="F6" s="102">
        <v>-455720</v>
      </c>
      <c r="G6" s="101"/>
      <c r="H6" s="103">
        <f t="shared" ref="H6:H69" si="0">SUM(F6:G6)</f>
        <v>-455720</v>
      </c>
    </row>
    <row r="7" spans="1:8">
      <c r="A7" s="139" t="s">
        <v>165</v>
      </c>
      <c r="B7" s="139" t="s">
        <v>166</v>
      </c>
      <c r="C7" s="139" t="s">
        <v>156</v>
      </c>
      <c r="D7" s="139" t="s">
        <v>162</v>
      </c>
      <c r="E7" s="139" t="s">
        <v>100</v>
      </c>
      <c r="F7" s="102">
        <v>-33680</v>
      </c>
      <c r="G7" s="101"/>
      <c r="H7" s="103">
        <f t="shared" si="0"/>
        <v>-33680</v>
      </c>
    </row>
    <row r="8" spans="1:8">
      <c r="A8" s="139" t="s">
        <v>167</v>
      </c>
      <c r="B8" s="139" t="s">
        <v>168</v>
      </c>
      <c r="C8" s="139" t="s">
        <v>156</v>
      </c>
      <c r="D8" s="139" t="s">
        <v>169</v>
      </c>
      <c r="E8" s="139" t="s">
        <v>170</v>
      </c>
      <c r="F8" s="102">
        <v>-8090495.2999999998</v>
      </c>
      <c r="G8" s="101"/>
      <c r="H8" s="103"/>
    </row>
    <row r="9" spans="1:8">
      <c r="A9" s="139" t="s">
        <v>171</v>
      </c>
      <c r="B9" s="139" t="s">
        <v>172</v>
      </c>
      <c r="C9" s="139" t="s">
        <v>156</v>
      </c>
      <c r="D9" s="139" t="s">
        <v>157</v>
      </c>
      <c r="E9" s="139" t="s">
        <v>100</v>
      </c>
      <c r="F9" s="102">
        <v>0</v>
      </c>
      <c r="G9" s="101"/>
      <c r="H9" s="103"/>
    </row>
    <row r="10" spans="1:8">
      <c r="A10" s="139" t="s">
        <v>173</v>
      </c>
      <c r="B10" s="139" t="s">
        <v>174</v>
      </c>
      <c r="C10" s="139" t="s">
        <v>156</v>
      </c>
      <c r="D10" s="139" t="s">
        <v>162</v>
      </c>
      <c r="E10" s="139" t="s">
        <v>100</v>
      </c>
      <c r="F10" s="102">
        <v>-7007962</v>
      </c>
      <c r="G10" s="101"/>
      <c r="H10" s="103">
        <f t="shared" si="0"/>
        <v>-7007962</v>
      </c>
    </row>
    <row r="11" spans="1:8">
      <c r="A11" s="139" t="s">
        <v>175</v>
      </c>
      <c r="B11" s="139" t="s">
        <v>176</v>
      </c>
      <c r="C11" s="139" t="s">
        <v>156</v>
      </c>
      <c r="D11" s="139" t="s">
        <v>162</v>
      </c>
      <c r="E11" s="139" t="s">
        <v>100</v>
      </c>
      <c r="F11" s="102">
        <v>-235114</v>
      </c>
      <c r="G11" s="101"/>
      <c r="H11" s="103">
        <f t="shared" si="0"/>
        <v>-235114</v>
      </c>
    </row>
    <row r="12" spans="1:8">
      <c r="A12" s="139" t="s">
        <v>177</v>
      </c>
      <c r="B12" s="139" t="s">
        <v>178</v>
      </c>
      <c r="C12" s="139" t="s">
        <v>156</v>
      </c>
      <c r="D12" s="139" t="s">
        <v>162</v>
      </c>
      <c r="E12" s="139" t="s">
        <v>100</v>
      </c>
      <c r="F12" s="102">
        <v>-204923.19</v>
      </c>
      <c r="G12" s="101"/>
      <c r="H12" s="103">
        <f t="shared" si="0"/>
        <v>-204923.19</v>
      </c>
    </row>
    <row r="13" spans="1:8">
      <c r="A13" s="139" t="s">
        <v>179</v>
      </c>
      <c r="B13" s="139" t="s">
        <v>180</v>
      </c>
      <c r="C13" s="139" t="s">
        <v>156</v>
      </c>
      <c r="D13" s="139" t="s">
        <v>162</v>
      </c>
      <c r="E13" s="139" t="s">
        <v>100</v>
      </c>
      <c r="F13" s="102">
        <v>193031.25</v>
      </c>
      <c r="G13" s="101"/>
      <c r="H13" s="103">
        <f t="shared" si="0"/>
        <v>193031.25</v>
      </c>
    </row>
    <row r="14" spans="1:8">
      <c r="A14" s="139" t="s">
        <v>183</v>
      </c>
      <c r="B14" s="139" t="s">
        <v>184</v>
      </c>
      <c r="C14" s="139" t="s">
        <v>156</v>
      </c>
      <c r="D14" s="139" t="s">
        <v>162</v>
      </c>
      <c r="E14" s="139" t="s">
        <v>100</v>
      </c>
      <c r="F14" s="102">
        <v>-1758794</v>
      </c>
      <c r="G14" s="101"/>
      <c r="H14" s="103">
        <f t="shared" si="0"/>
        <v>-1758794</v>
      </c>
    </row>
    <row r="15" spans="1:8">
      <c r="A15" s="139" t="s">
        <v>185</v>
      </c>
      <c r="B15" s="139" t="s">
        <v>186</v>
      </c>
      <c r="C15" s="139" t="s">
        <v>156</v>
      </c>
      <c r="D15" s="139" t="s">
        <v>169</v>
      </c>
      <c r="E15" s="139" t="s">
        <v>187</v>
      </c>
      <c r="F15" s="102">
        <v>-9013761.9399999995</v>
      </c>
      <c r="G15" s="101"/>
      <c r="H15" s="103"/>
    </row>
    <row r="16" spans="1:8">
      <c r="A16" s="139" t="s">
        <v>188</v>
      </c>
      <c r="B16" s="139" t="s">
        <v>189</v>
      </c>
      <c r="C16" s="139" t="s">
        <v>156</v>
      </c>
      <c r="D16" s="139" t="s">
        <v>157</v>
      </c>
      <c r="E16" s="139" t="s">
        <v>100</v>
      </c>
      <c r="F16" s="102">
        <v>0</v>
      </c>
      <c r="G16" s="101"/>
      <c r="H16" s="103"/>
    </row>
    <row r="17" spans="1:8">
      <c r="A17" s="139" t="s">
        <v>190</v>
      </c>
      <c r="B17" s="139" t="s">
        <v>191</v>
      </c>
      <c r="C17" s="139" t="s">
        <v>156</v>
      </c>
      <c r="D17" s="139" t="s">
        <v>157</v>
      </c>
      <c r="E17" s="139" t="s">
        <v>100</v>
      </c>
      <c r="F17" s="102">
        <v>0</v>
      </c>
      <c r="G17" s="101"/>
      <c r="H17" s="103"/>
    </row>
    <row r="18" spans="1:8">
      <c r="A18" s="139" t="s">
        <v>192</v>
      </c>
      <c r="B18" s="139" t="s">
        <v>193</v>
      </c>
      <c r="C18" s="139" t="s">
        <v>156</v>
      </c>
      <c r="D18" s="139" t="s">
        <v>162</v>
      </c>
      <c r="E18" s="139" t="s">
        <v>100</v>
      </c>
      <c r="F18" s="102">
        <v>0</v>
      </c>
      <c r="G18" s="101">
        <f>-6787-637217.5</f>
        <v>-644004.5</v>
      </c>
      <c r="H18" s="103">
        <f t="shared" si="0"/>
        <v>-644004.5</v>
      </c>
    </row>
    <row r="19" spans="1:8">
      <c r="A19" s="139" t="s">
        <v>194</v>
      </c>
      <c r="B19" s="139" t="s">
        <v>195</v>
      </c>
      <c r="C19" s="139" t="s">
        <v>156</v>
      </c>
      <c r="D19" s="139" t="s">
        <v>169</v>
      </c>
      <c r="E19" s="139" t="s">
        <v>196</v>
      </c>
      <c r="F19" s="102">
        <v>0</v>
      </c>
      <c r="G19" s="101"/>
      <c r="H19" s="103"/>
    </row>
    <row r="20" spans="1:8">
      <c r="A20" s="139" t="s">
        <v>197</v>
      </c>
      <c r="B20" s="139" t="s">
        <v>198</v>
      </c>
      <c r="C20" s="139" t="s">
        <v>156</v>
      </c>
      <c r="D20" s="139" t="s">
        <v>157</v>
      </c>
      <c r="E20" s="139" t="s">
        <v>100</v>
      </c>
      <c r="F20" s="102">
        <v>0</v>
      </c>
      <c r="G20" s="101"/>
      <c r="H20" s="103"/>
    </row>
    <row r="21" spans="1:8">
      <c r="A21" s="139" t="s">
        <v>199</v>
      </c>
      <c r="B21" s="139" t="s">
        <v>200</v>
      </c>
      <c r="C21" s="139" t="s">
        <v>156</v>
      </c>
      <c r="D21" s="139" t="s">
        <v>162</v>
      </c>
      <c r="E21" s="139" t="s">
        <v>100</v>
      </c>
      <c r="F21" s="102">
        <v>-1095499.81</v>
      </c>
      <c r="G21" s="101"/>
      <c r="H21" s="103">
        <f t="shared" si="0"/>
        <v>-1095499.81</v>
      </c>
    </row>
    <row r="22" spans="1:8">
      <c r="A22" s="139" t="s">
        <v>201</v>
      </c>
      <c r="B22" s="139" t="s">
        <v>202</v>
      </c>
      <c r="C22" s="139" t="s">
        <v>156</v>
      </c>
      <c r="D22" s="139" t="s">
        <v>162</v>
      </c>
      <c r="E22" s="139" t="s">
        <v>100</v>
      </c>
      <c r="F22" s="102">
        <v>0</v>
      </c>
      <c r="G22" s="101"/>
      <c r="H22" s="103">
        <f t="shared" si="0"/>
        <v>0</v>
      </c>
    </row>
    <row r="23" spans="1:8">
      <c r="A23" s="139" t="s">
        <v>203</v>
      </c>
      <c r="B23" s="139" t="s">
        <v>2149</v>
      </c>
      <c r="C23" s="139" t="s">
        <v>156</v>
      </c>
      <c r="D23" s="139" t="s">
        <v>162</v>
      </c>
      <c r="E23" s="139" t="s">
        <v>100</v>
      </c>
      <c r="F23" s="102">
        <v>142263.46</v>
      </c>
      <c r="G23" s="101"/>
      <c r="H23" s="103">
        <f t="shared" si="0"/>
        <v>142263.46</v>
      </c>
    </row>
    <row r="24" spans="1:8">
      <c r="A24" s="139" t="s">
        <v>207</v>
      </c>
      <c r="B24" s="139" t="s">
        <v>208</v>
      </c>
      <c r="C24" s="139" t="s">
        <v>156</v>
      </c>
      <c r="D24" s="139" t="s">
        <v>162</v>
      </c>
      <c r="E24" s="139" t="s">
        <v>100</v>
      </c>
      <c r="F24" s="102">
        <v>302918.31</v>
      </c>
      <c r="G24" s="101"/>
      <c r="H24" s="103">
        <f t="shared" si="0"/>
        <v>302918.31</v>
      </c>
    </row>
    <row r="25" spans="1:8">
      <c r="A25" s="139" t="s">
        <v>209</v>
      </c>
      <c r="B25" s="139" t="s">
        <v>210</v>
      </c>
      <c r="C25" s="139" t="s">
        <v>156</v>
      </c>
      <c r="D25" s="139" t="s">
        <v>162</v>
      </c>
      <c r="E25" s="139" t="s">
        <v>100</v>
      </c>
      <c r="F25" s="102">
        <v>529859.79</v>
      </c>
      <c r="G25" s="101"/>
      <c r="H25" s="103">
        <f t="shared" si="0"/>
        <v>529859.79</v>
      </c>
    </row>
    <row r="26" spans="1:8">
      <c r="A26" s="139" t="s">
        <v>211</v>
      </c>
      <c r="B26" s="139" t="s">
        <v>212</v>
      </c>
      <c r="C26" s="139" t="s">
        <v>156</v>
      </c>
      <c r="D26" s="139" t="s">
        <v>162</v>
      </c>
      <c r="E26" s="139" t="s">
        <v>100</v>
      </c>
      <c r="F26" s="102">
        <v>0</v>
      </c>
      <c r="G26" s="101"/>
      <c r="H26" s="103">
        <f t="shared" si="0"/>
        <v>0</v>
      </c>
    </row>
    <row r="27" spans="1:8">
      <c r="A27" s="139" t="s">
        <v>213</v>
      </c>
      <c r="B27" s="139" t="s">
        <v>214</v>
      </c>
      <c r="C27" s="139" t="s">
        <v>156</v>
      </c>
      <c r="D27" s="139" t="s">
        <v>162</v>
      </c>
      <c r="E27" s="139" t="s">
        <v>100</v>
      </c>
      <c r="F27" s="102">
        <v>1016.85</v>
      </c>
      <c r="G27" s="101"/>
      <c r="H27" s="103">
        <f t="shared" si="0"/>
        <v>1016.85</v>
      </c>
    </row>
    <row r="28" spans="1:8">
      <c r="A28" s="139" t="s">
        <v>215</v>
      </c>
      <c r="B28" s="139" t="s">
        <v>216</v>
      </c>
      <c r="C28" s="139" t="s">
        <v>156</v>
      </c>
      <c r="D28" s="139" t="s">
        <v>162</v>
      </c>
      <c r="E28" s="139" t="s">
        <v>100</v>
      </c>
      <c r="F28" s="102">
        <v>0</v>
      </c>
      <c r="G28" s="101"/>
      <c r="H28" s="103">
        <f t="shared" si="0"/>
        <v>0</v>
      </c>
    </row>
    <row r="29" spans="1:8">
      <c r="A29" s="139" t="s">
        <v>217</v>
      </c>
      <c r="B29" s="139" t="s">
        <v>218</v>
      </c>
      <c r="C29" s="139" t="s">
        <v>156</v>
      </c>
      <c r="D29" s="139" t="s">
        <v>162</v>
      </c>
      <c r="E29" s="139" t="s">
        <v>100</v>
      </c>
      <c r="F29" s="102">
        <v>18401.259999999998</v>
      </c>
      <c r="G29" s="101"/>
      <c r="H29" s="103">
        <f t="shared" si="0"/>
        <v>18401.259999999998</v>
      </c>
    </row>
    <row r="30" spans="1:8">
      <c r="A30" s="139" t="s">
        <v>219</v>
      </c>
      <c r="B30" s="139" t="s">
        <v>220</v>
      </c>
      <c r="C30" s="139" t="s">
        <v>156</v>
      </c>
      <c r="D30" s="139" t="s">
        <v>162</v>
      </c>
      <c r="E30" s="139" t="s">
        <v>100</v>
      </c>
      <c r="F30" s="102">
        <v>163950.82</v>
      </c>
      <c r="G30" s="101">
        <v>-6352.5</v>
      </c>
      <c r="H30" s="103">
        <f t="shared" si="0"/>
        <v>157598.32</v>
      </c>
    </row>
    <row r="31" spans="1:8">
      <c r="A31" s="139" t="s">
        <v>221</v>
      </c>
      <c r="B31" s="139" t="s">
        <v>222</v>
      </c>
      <c r="C31" s="139" t="s">
        <v>156</v>
      </c>
      <c r="D31" s="139" t="s">
        <v>169</v>
      </c>
      <c r="E31" s="139" t="s">
        <v>223</v>
      </c>
      <c r="F31" s="102">
        <v>62910.68</v>
      </c>
      <c r="G31" s="101"/>
      <c r="H31" s="103"/>
    </row>
    <row r="32" spans="1:8">
      <c r="A32" s="139" t="s">
        <v>224</v>
      </c>
      <c r="B32" s="139" t="s">
        <v>225</v>
      </c>
      <c r="C32" s="139" t="s">
        <v>156</v>
      </c>
      <c r="D32" s="139" t="s">
        <v>157</v>
      </c>
      <c r="E32" s="139" t="s">
        <v>100</v>
      </c>
      <c r="F32" s="102">
        <v>0</v>
      </c>
      <c r="G32" s="101"/>
      <c r="H32" s="103"/>
    </row>
    <row r="33" spans="1:8">
      <c r="A33" s="139" t="s">
        <v>226</v>
      </c>
      <c r="B33" s="139" t="s">
        <v>227</v>
      </c>
      <c r="C33" s="139" t="s">
        <v>156</v>
      </c>
      <c r="D33" s="139" t="s">
        <v>162</v>
      </c>
      <c r="E33" s="139" t="s">
        <v>100</v>
      </c>
      <c r="F33" s="102">
        <v>-2439580</v>
      </c>
      <c r="G33" s="101"/>
      <c r="H33" s="103">
        <f t="shared" si="0"/>
        <v>-2439580</v>
      </c>
    </row>
    <row r="34" spans="1:8">
      <c r="A34" s="139" t="s">
        <v>228</v>
      </c>
      <c r="B34" s="139" t="s">
        <v>229</v>
      </c>
      <c r="C34" s="139" t="s">
        <v>156</v>
      </c>
      <c r="D34" s="139" t="s">
        <v>162</v>
      </c>
      <c r="E34" s="139" t="s">
        <v>100</v>
      </c>
      <c r="F34" s="102">
        <v>137078</v>
      </c>
      <c r="G34" s="101"/>
      <c r="H34" s="103">
        <f t="shared" si="0"/>
        <v>137078</v>
      </c>
    </row>
    <row r="35" spans="1:8">
      <c r="A35" s="139" t="s">
        <v>230</v>
      </c>
      <c r="B35" s="139" t="s">
        <v>231</v>
      </c>
      <c r="C35" s="139" t="s">
        <v>156</v>
      </c>
      <c r="D35" s="139" t="s">
        <v>162</v>
      </c>
      <c r="E35" s="139" t="s">
        <v>100</v>
      </c>
      <c r="F35" s="102">
        <v>63069.31</v>
      </c>
      <c r="G35" s="101"/>
      <c r="H35" s="103">
        <f t="shared" si="0"/>
        <v>63069.31</v>
      </c>
    </row>
    <row r="36" spans="1:8">
      <c r="A36" s="139" t="s">
        <v>232</v>
      </c>
      <c r="B36" s="139" t="s">
        <v>233</v>
      </c>
      <c r="C36" s="139" t="s">
        <v>156</v>
      </c>
      <c r="D36" s="139" t="s">
        <v>162</v>
      </c>
      <c r="E36" s="139" t="s">
        <v>100</v>
      </c>
      <c r="F36" s="102">
        <v>379208</v>
      </c>
      <c r="G36" s="101"/>
      <c r="H36" s="103">
        <f t="shared" si="0"/>
        <v>379208</v>
      </c>
    </row>
    <row r="37" spans="1:8">
      <c r="A37" s="139" t="s">
        <v>234</v>
      </c>
      <c r="B37" s="139" t="s">
        <v>235</v>
      </c>
      <c r="C37" s="139" t="s">
        <v>156</v>
      </c>
      <c r="D37" s="139" t="s">
        <v>162</v>
      </c>
      <c r="E37" s="139" t="s">
        <v>100</v>
      </c>
      <c r="F37" s="102">
        <v>-31037.8</v>
      </c>
      <c r="G37" s="101"/>
      <c r="H37" s="103">
        <f t="shared" si="0"/>
        <v>-31037.8</v>
      </c>
    </row>
    <row r="38" spans="1:8">
      <c r="A38" s="139" t="s">
        <v>236</v>
      </c>
      <c r="B38" s="139" t="s">
        <v>237</v>
      </c>
      <c r="C38" s="139" t="s">
        <v>156</v>
      </c>
      <c r="D38" s="139" t="s">
        <v>162</v>
      </c>
      <c r="E38" s="139" t="s">
        <v>100</v>
      </c>
      <c r="F38" s="102">
        <v>5000</v>
      </c>
      <c r="G38" s="101"/>
      <c r="H38" s="103">
        <f t="shared" si="0"/>
        <v>5000</v>
      </c>
    </row>
    <row r="39" spans="1:8">
      <c r="A39" s="139" t="s">
        <v>238</v>
      </c>
      <c r="B39" s="139" t="s">
        <v>239</v>
      </c>
      <c r="C39" s="139" t="s">
        <v>156</v>
      </c>
      <c r="D39" s="139" t="s">
        <v>162</v>
      </c>
      <c r="E39" s="139" t="s">
        <v>100</v>
      </c>
      <c r="F39" s="102">
        <v>1793091.3</v>
      </c>
      <c r="G39" s="101"/>
      <c r="H39" s="103">
        <f t="shared" si="0"/>
        <v>1793091.3</v>
      </c>
    </row>
    <row r="40" spans="1:8">
      <c r="A40" s="139" t="s">
        <v>240</v>
      </c>
      <c r="B40" s="139" t="s">
        <v>241</v>
      </c>
      <c r="C40" s="139" t="s">
        <v>156</v>
      </c>
      <c r="D40" s="139" t="s">
        <v>169</v>
      </c>
      <c r="E40" s="139" t="s">
        <v>242</v>
      </c>
      <c r="F40" s="102">
        <v>-93171.19</v>
      </c>
      <c r="G40" s="101"/>
      <c r="H40" s="103"/>
    </row>
    <row r="41" spans="1:8">
      <c r="A41" s="139" t="s">
        <v>243</v>
      </c>
      <c r="B41" s="139" t="s">
        <v>244</v>
      </c>
      <c r="C41" s="139" t="s">
        <v>156</v>
      </c>
      <c r="D41" s="139" t="s">
        <v>157</v>
      </c>
      <c r="E41" s="139" t="s">
        <v>100</v>
      </c>
      <c r="F41" s="102">
        <v>0</v>
      </c>
      <c r="G41" s="101"/>
      <c r="H41" s="103"/>
    </row>
    <row r="42" spans="1:8">
      <c r="A42" s="139" t="s">
        <v>245</v>
      </c>
      <c r="B42" s="139" t="s">
        <v>246</v>
      </c>
      <c r="C42" s="139" t="s">
        <v>156</v>
      </c>
      <c r="D42" s="139" t="s">
        <v>162</v>
      </c>
      <c r="E42" s="139" t="s">
        <v>100</v>
      </c>
      <c r="F42" s="102">
        <v>-72648.820000000007</v>
      </c>
      <c r="G42" s="101"/>
      <c r="H42" s="103">
        <f t="shared" si="0"/>
        <v>-72648.820000000007</v>
      </c>
    </row>
    <row r="43" spans="1:8">
      <c r="A43" s="139" t="s">
        <v>247</v>
      </c>
      <c r="B43" s="139" t="s">
        <v>248</v>
      </c>
      <c r="C43" s="139" t="s">
        <v>156</v>
      </c>
      <c r="D43" s="139" t="s">
        <v>169</v>
      </c>
      <c r="E43" s="139" t="s">
        <v>249</v>
      </c>
      <c r="F43" s="102">
        <v>-72648.820000000007</v>
      </c>
      <c r="G43" s="101"/>
      <c r="H43" s="103"/>
    </row>
    <row r="44" spans="1:8">
      <c r="A44" s="139" t="s">
        <v>250</v>
      </c>
      <c r="B44" s="139" t="s">
        <v>251</v>
      </c>
      <c r="C44" s="139" t="s">
        <v>156</v>
      </c>
      <c r="D44" s="139" t="s">
        <v>169</v>
      </c>
      <c r="E44" s="139" t="s">
        <v>252</v>
      </c>
      <c r="F44" s="102">
        <v>-102909.33</v>
      </c>
      <c r="G44" s="101"/>
      <c r="H44" s="103"/>
    </row>
    <row r="45" spans="1:8">
      <c r="A45" s="139" t="s">
        <v>253</v>
      </c>
      <c r="B45" s="139" t="s">
        <v>254</v>
      </c>
      <c r="C45" s="139" t="s">
        <v>156</v>
      </c>
      <c r="D45" s="139" t="s">
        <v>157</v>
      </c>
      <c r="E45" s="139" t="s">
        <v>100</v>
      </c>
      <c r="F45" s="102">
        <v>0</v>
      </c>
      <c r="G45" s="101"/>
      <c r="H45" s="103"/>
    </row>
    <row r="46" spans="1:8">
      <c r="A46" s="139" t="s">
        <v>255</v>
      </c>
      <c r="B46" s="139" t="s">
        <v>256</v>
      </c>
      <c r="C46" s="139" t="s">
        <v>156</v>
      </c>
      <c r="D46" s="139" t="s">
        <v>162</v>
      </c>
      <c r="E46" s="139" t="s">
        <v>100</v>
      </c>
      <c r="F46" s="102">
        <v>0</v>
      </c>
      <c r="G46" s="101"/>
      <c r="H46" s="103">
        <f t="shared" si="0"/>
        <v>0</v>
      </c>
    </row>
    <row r="47" spans="1:8">
      <c r="A47" s="139" t="s">
        <v>257</v>
      </c>
      <c r="B47" s="139" t="s">
        <v>258</v>
      </c>
      <c r="C47" s="139" t="s">
        <v>156</v>
      </c>
      <c r="D47" s="139" t="s">
        <v>162</v>
      </c>
      <c r="E47" s="139" t="s">
        <v>100</v>
      </c>
      <c r="F47" s="102">
        <v>0</v>
      </c>
      <c r="G47" s="101"/>
      <c r="H47" s="103">
        <f t="shared" si="0"/>
        <v>0</v>
      </c>
    </row>
    <row r="48" spans="1:8">
      <c r="A48" s="139" t="s">
        <v>259</v>
      </c>
      <c r="B48" s="139" t="s">
        <v>260</v>
      </c>
      <c r="C48" s="139" t="s">
        <v>156</v>
      </c>
      <c r="D48" s="139" t="s">
        <v>162</v>
      </c>
      <c r="E48" s="139" t="s">
        <v>100</v>
      </c>
      <c r="F48" s="102">
        <v>0</v>
      </c>
      <c r="G48" s="101"/>
      <c r="H48" s="103">
        <f t="shared" si="0"/>
        <v>0</v>
      </c>
    </row>
    <row r="49" spans="1:8">
      <c r="A49" s="139" t="s">
        <v>261</v>
      </c>
      <c r="B49" s="139" t="s">
        <v>262</v>
      </c>
      <c r="C49" s="139" t="s">
        <v>156</v>
      </c>
      <c r="D49" s="139" t="s">
        <v>162</v>
      </c>
      <c r="E49" s="139" t="s">
        <v>100</v>
      </c>
      <c r="F49" s="102">
        <v>0</v>
      </c>
      <c r="G49" s="101"/>
      <c r="H49" s="103">
        <f t="shared" si="0"/>
        <v>0</v>
      </c>
    </row>
    <row r="50" spans="1:8">
      <c r="A50" s="139" t="s">
        <v>263</v>
      </c>
      <c r="B50" s="139" t="s">
        <v>264</v>
      </c>
      <c r="C50" s="139" t="s">
        <v>156</v>
      </c>
      <c r="D50" s="139" t="s">
        <v>162</v>
      </c>
      <c r="E50" s="139" t="s">
        <v>100</v>
      </c>
      <c r="F50" s="102">
        <v>-7997.17</v>
      </c>
      <c r="G50" s="101"/>
      <c r="H50" s="103">
        <f t="shared" si="0"/>
        <v>-7997.17</v>
      </c>
    </row>
    <row r="51" spans="1:8">
      <c r="A51" s="139" t="s">
        <v>265</v>
      </c>
      <c r="B51" s="139" t="s">
        <v>266</v>
      </c>
      <c r="C51" s="139" t="s">
        <v>156</v>
      </c>
      <c r="D51" s="139" t="s">
        <v>162</v>
      </c>
      <c r="E51" s="139" t="s">
        <v>100</v>
      </c>
      <c r="F51" s="102">
        <v>13853.72</v>
      </c>
      <c r="G51" s="101"/>
      <c r="H51" s="103">
        <f t="shared" si="0"/>
        <v>13853.72</v>
      </c>
    </row>
    <row r="52" spans="1:8">
      <c r="A52" s="139" t="s">
        <v>267</v>
      </c>
      <c r="B52" s="139" t="s">
        <v>268</v>
      </c>
      <c r="C52" s="139" t="s">
        <v>156</v>
      </c>
      <c r="D52" s="139" t="s">
        <v>162</v>
      </c>
      <c r="E52" s="139" t="s">
        <v>100</v>
      </c>
      <c r="F52" s="102">
        <v>0</v>
      </c>
      <c r="G52" s="101"/>
      <c r="H52" s="103">
        <f t="shared" si="0"/>
        <v>0</v>
      </c>
    </row>
    <row r="53" spans="1:8">
      <c r="A53" s="139" t="s">
        <v>269</v>
      </c>
      <c r="B53" s="139" t="s">
        <v>270</v>
      </c>
      <c r="C53" s="139" t="s">
        <v>156</v>
      </c>
      <c r="D53" s="139" t="s">
        <v>162</v>
      </c>
      <c r="E53" s="139" t="s">
        <v>100</v>
      </c>
      <c r="F53" s="102">
        <v>-50496</v>
      </c>
      <c r="G53" s="101"/>
      <c r="H53" s="103">
        <f t="shared" si="0"/>
        <v>-50496</v>
      </c>
    </row>
    <row r="54" spans="1:8">
      <c r="A54" s="139" t="s">
        <v>271</v>
      </c>
      <c r="B54" s="139" t="s">
        <v>272</v>
      </c>
      <c r="C54" s="139" t="s">
        <v>156</v>
      </c>
      <c r="D54" s="139" t="s">
        <v>162</v>
      </c>
      <c r="E54" s="139" t="s">
        <v>100</v>
      </c>
      <c r="F54" s="102">
        <v>0</v>
      </c>
      <c r="G54" s="101"/>
      <c r="H54" s="103">
        <f t="shared" si="0"/>
        <v>0</v>
      </c>
    </row>
    <row r="55" spans="1:8">
      <c r="A55" s="139" t="s">
        <v>273</v>
      </c>
      <c r="B55" s="139" t="s">
        <v>274</v>
      </c>
      <c r="C55" s="139" t="s">
        <v>156</v>
      </c>
      <c r="D55" s="139" t="s">
        <v>162</v>
      </c>
      <c r="E55" s="139" t="s">
        <v>100</v>
      </c>
      <c r="F55" s="102">
        <v>2605.66</v>
      </c>
      <c r="G55" s="101"/>
      <c r="H55" s="103">
        <f t="shared" si="0"/>
        <v>2605.66</v>
      </c>
    </row>
    <row r="56" spans="1:8">
      <c r="A56" s="139" t="s">
        <v>275</v>
      </c>
      <c r="B56" s="139" t="s">
        <v>254</v>
      </c>
      <c r="C56" s="139" t="s">
        <v>156</v>
      </c>
      <c r="D56" s="139" t="s">
        <v>169</v>
      </c>
      <c r="E56" s="139" t="s">
        <v>276</v>
      </c>
      <c r="F56" s="102">
        <v>-42033.79</v>
      </c>
      <c r="G56" s="101"/>
      <c r="H56" s="103"/>
    </row>
    <row r="57" spans="1:8">
      <c r="A57" s="139" t="s">
        <v>277</v>
      </c>
      <c r="B57" s="139" t="s">
        <v>278</v>
      </c>
      <c r="C57" s="139" t="s">
        <v>156</v>
      </c>
      <c r="D57" s="139" t="s">
        <v>169</v>
      </c>
      <c r="E57" s="139" t="s">
        <v>279</v>
      </c>
      <c r="F57" s="102">
        <v>-17249200.359999999</v>
      </c>
      <c r="G57" s="101"/>
      <c r="H57" s="103"/>
    </row>
    <row r="58" spans="1:8">
      <c r="A58" s="139" t="s">
        <v>280</v>
      </c>
      <c r="B58" s="139" t="s">
        <v>281</v>
      </c>
      <c r="C58" s="139" t="s">
        <v>156</v>
      </c>
      <c r="D58" s="139" t="s">
        <v>157</v>
      </c>
      <c r="E58" s="139" t="s">
        <v>100</v>
      </c>
      <c r="F58" s="102">
        <v>0</v>
      </c>
      <c r="G58" s="101"/>
      <c r="H58" s="103"/>
    </row>
    <row r="59" spans="1:8">
      <c r="A59" s="139" t="s">
        <v>282</v>
      </c>
      <c r="B59" s="139" t="s">
        <v>281</v>
      </c>
      <c r="C59" s="139" t="s">
        <v>156</v>
      </c>
      <c r="D59" s="139" t="s">
        <v>157</v>
      </c>
      <c r="E59" s="139" t="s">
        <v>100</v>
      </c>
      <c r="F59" s="102">
        <v>0</v>
      </c>
      <c r="G59" s="101"/>
      <c r="H59" s="103"/>
    </row>
    <row r="60" spans="1:8">
      <c r="A60" s="139" t="s">
        <v>283</v>
      </c>
      <c r="B60" s="139" t="s">
        <v>284</v>
      </c>
      <c r="C60" s="139" t="s">
        <v>156</v>
      </c>
      <c r="D60" s="139" t="s">
        <v>157</v>
      </c>
      <c r="E60" s="139" t="s">
        <v>100</v>
      </c>
      <c r="F60" s="102">
        <v>0</v>
      </c>
      <c r="G60" s="101"/>
      <c r="H60" s="103"/>
    </row>
    <row r="61" spans="1:8">
      <c r="A61" s="139" t="s">
        <v>285</v>
      </c>
      <c r="B61" s="139" t="s">
        <v>286</v>
      </c>
      <c r="C61" s="139" t="s">
        <v>156</v>
      </c>
      <c r="D61" s="139" t="s">
        <v>157</v>
      </c>
      <c r="E61" s="139" t="s">
        <v>100</v>
      </c>
      <c r="F61" s="102">
        <v>0</v>
      </c>
      <c r="G61" s="101"/>
      <c r="H61" s="103"/>
    </row>
    <row r="62" spans="1:8">
      <c r="A62" s="139" t="s">
        <v>287</v>
      </c>
      <c r="B62" s="139" t="s">
        <v>288</v>
      </c>
      <c r="C62" s="139" t="s">
        <v>156</v>
      </c>
      <c r="D62" s="139" t="s">
        <v>162</v>
      </c>
      <c r="E62" s="139" t="s">
        <v>100</v>
      </c>
      <c r="F62" s="102">
        <v>7701354.8200000003</v>
      </c>
      <c r="G62" s="101"/>
      <c r="H62" s="103">
        <f t="shared" si="0"/>
        <v>7701354.8200000003</v>
      </c>
    </row>
    <row r="63" spans="1:8">
      <c r="A63" s="139" t="s">
        <v>289</v>
      </c>
      <c r="B63" s="139" t="s">
        <v>290</v>
      </c>
      <c r="C63" s="139" t="s">
        <v>156</v>
      </c>
      <c r="D63" s="139" t="s">
        <v>162</v>
      </c>
      <c r="E63" s="139" t="s">
        <v>100</v>
      </c>
      <c r="F63" s="102">
        <v>4616.49</v>
      </c>
      <c r="G63" s="101"/>
      <c r="H63" s="103">
        <f t="shared" si="0"/>
        <v>4616.49</v>
      </c>
    </row>
    <row r="64" spans="1:8">
      <c r="A64" s="139" t="s">
        <v>291</v>
      </c>
      <c r="B64" s="139" t="s">
        <v>292</v>
      </c>
      <c r="C64" s="139" t="s">
        <v>156</v>
      </c>
      <c r="D64" s="139" t="s">
        <v>162</v>
      </c>
      <c r="E64" s="139" t="s">
        <v>100</v>
      </c>
      <c r="F64" s="102">
        <v>0</v>
      </c>
      <c r="G64" s="101"/>
      <c r="H64" s="103">
        <f t="shared" si="0"/>
        <v>0</v>
      </c>
    </row>
    <row r="65" spans="1:8">
      <c r="A65" s="139" t="s">
        <v>293</v>
      </c>
      <c r="B65" s="139" t="s">
        <v>294</v>
      </c>
      <c r="C65" s="139" t="s">
        <v>156</v>
      </c>
      <c r="D65" s="139" t="s">
        <v>162</v>
      </c>
      <c r="E65" s="139" t="s">
        <v>100</v>
      </c>
      <c r="F65" s="102">
        <v>-0.87</v>
      </c>
      <c r="G65" s="101"/>
      <c r="H65" s="103">
        <f t="shared" si="0"/>
        <v>-0.87</v>
      </c>
    </row>
    <row r="66" spans="1:8">
      <c r="A66" s="139" t="s">
        <v>295</v>
      </c>
      <c r="B66" s="139" t="s">
        <v>296</v>
      </c>
      <c r="C66" s="139" t="s">
        <v>156</v>
      </c>
      <c r="D66" s="139" t="s">
        <v>162</v>
      </c>
      <c r="E66" s="139" t="s">
        <v>100</v>
      </c>
      <c r="F66" s="102">
        <v>354419.72</v>
      </c>
      <c r="G66" s="101"/>
      <c r="H66" s="103">
        <f t="shared" si="0"/>
        <v>354419.72</v>
      </c>
    </row>
    <row r="67" spans="1:8">
      <c r="A67" s="139" t="s">
        <v>297</v>
      </c>
      <c r="B67" s="139" t="s">
        <v>298</v>
      </c>
      <c r="C67" s="139" t="s">
        <v>156</v>
      </c>
      <c r="D67" s="139" t="s">
        <v>162</v>
      </c>
      <c r="E67" s="139" t="s">
        <v>100</v>
      </c>
      <c r="F67" s="102">
        <v>765872.28</v>
      </c>
      <c r="G67" s="101"/>
      <c r="H67" s="103">
        <f t="shared" si="0"/>
        <v>765872.28</v>
      </c>
    </row>
    <row r="68" spans="1:8">
      <c r="A68" s="139" t="s">
        <v>299</v>
      </c>
      <c r="B68" s="139" t="s">
        <v>300</v>
      </c>
      <c r="C68" s="139" t="s">
        <v>156</v>
      </c>
      <c r="D68" s="139" t="s">
        <v>162</v>
      </c>
      <c r="E68" s="139" t="s">
        <v>100</v>
      </c>
      <c r="F68" s="102">
        <v>198773.87</v>
      </c>
      <c r="G68" s="101"/>
      <c r="H68" s="103">
        <f t="shared" si="0"/>
        <v>198773.87</v>
      </c>
    </row>
    <row r="69" spans="1:8">
      <c r="A69" s="139" t="s">
        <v>301</v>
      </c>
      <c r="B69" s="139" t="s">
        <v>302</v>
      </c>
      <c r="C69" s="139" t="s">
        <v>156</v>
      </c>
      <c r="D69" s="139" t="s">
        <v>162</v>
      </c>
      <c r="E69" s="139" t="s">
        <v>100</v>
      </c>
      <c r="F69" s="102">
        <v>-127437.94</v>
      </c>
      <c r="G69" s="101"/>
      <c r="H69" s="103">
        <f t="shared" si="0"/>
        <v>-127437.94</v>
      </c>
    </row>
    <row r="70" spans="1:8">
      <c r="A70" s="139" t="s">
        <v>303</v>
      </c>
      <c r="B70" s="139" t="s">
        <v>304</v>
      </c>
      <c r="C70" s="139" t="s">
        <v>156</v>
      </c>
      <c r="D70" s="139" t="s">
        <v>162</v>
      </c>
      <c r="E70" s="139" t="s">
        <v>100</v>
      </c>
      <c r="F70" s="102">
        <v>64340.35</v>
      </c>
      <c r="G70" s="101">
        <f>-56881-186395.46</f>
        <v>-243276.46</v>
      </c>
      <c r="H70" s="103">
        <f t="shared" ref="H70:H133" si="1">SUM(F70:G70)</f>
        <v>-178936.11</v>
      </c>
    </row>
    <row r="71" spans="1:8">
      <c r="A71" s="139" t="s">
        <v>305</v>
      </c>
      <c r="B71" s="139" t="s">
        <v>306</v>
      </c>
      <c r="C71" s="139" t="s">
        <v>156</v>
      </c>
      <c r="D71" s="139" t="s">
        <v>162</v>
      </c>
      <c r="E71" s="139" t="s">
        <v>100</v>
      </c>
      <c r="F71" s="102">
        <v>105988.43</v>
      </c>
      <c r="G71" s="101"/>
      <c r="H71" s="103">
        <f t="shared" si="1"/>
        <v>105988.43</v>
      </c>
    </row>
    <row r="72" spans="1:8">
      <c r="A72" s="139" t="s">
        <v>307</v>
      </c>
      <c r="B72" s="139" t="s">
        <v>308</v>
      </c>
      <c r="C72" s="139" t="s">
        <v>156</v>
      </c>
      <c r="D72" s="139" t="s">
        <v>162</v>
      </c>
      <c r="E72" s="139" t="s">
        <v>100</v>
      </c>
      <c r="F72" s="102">
        <v>-25875</v>
      </c>
      <c r="G72" s="101"/>
      <c r="H72" s="103">
        <f t="shared" si="1"/>
        <v>-25875</v>
      </c>
    </row>
    <row r="73" spans="1:8">
      <c r="A73" s="139" t="s">
        <v>309</v>
      </c>
      <c r="B73" s="139" t="s">
        <v>310</v>
      </c>
      <c r="C73" s="139" t="s">
        <v>156</v>
      </c>
      <c r="D73" s="139" t="s">
        <v>162</v>
      </c>
      <c r="E73" s="139" t="s">
        <v>100</v>
      </c>
      <c r="F73" s="102">
        <v>0</v>
      </c>
      <c r="G73" s="101"/>
      <c r="H73" s="103">
        <f t="shared" si="1"/>
        <v>0</v>
      </c>
    </row>
    <row r="74" spans="1:8">
      <c r="A74" s="139" t="s">
        <v>311</v>
      </c>
      <c r="B74" s="139" t="s">
        <v>312</v>
      </c>
      <c r="C74" s="139" t="s">
        <v>156</v>
      </c>
      <c r="D74" s="139" t="s">
        <v>169</v>
      </c>
      <c r="E74" s="139" t="s">
        <v>313</v>
      </c>
      <c r="F74" s="102">
        <v>9042052.1500000004</v>
      </c>
      <c r="G74" s="101"/>
      <c r="H74" s="103"/>
    </row>
    <row r="75" spans="1:8">
      <c r="A75" s="139" t="s">
        <v>314</v>
      </c>
      <c r="B75" s="139" t="s">
        <v>315</v>
      </c>
      <c r="C75" s="139" t="s">
        <v>156</v>
      </c>
      <c r="D75" s="139" t="s">
        <v>157</v>
      </c>
      <c r="E75" s="139" t="s">
        <v>100</v>
      </c>
      <c r="F75" s="102">
        <v>0</v>
      </c>
      <c r="G75" s="101"/>
      <c r="H75" s="103"/>
    </row>
    <row r="76" spans="1:8">
      <c r="A76" s="139" t="s">
        <v>316</v>
      </c>
      <c r="B76" s="139" t="s">
        <v>317</v>
      </c>
      <c r="C76" s="139" t="s">
        <v>156</v>
      </c>
      <c r="D76" s="139" t="s">
        <v>162</v>
      </c>
      <c r="E76" s="139" t="s">
        <v>100</v>
      </c>
      <c r="F76" s="102">
        <v>398648.76</v>
      </c>
      <c r="G76" s="101"/>
      <c r="H76" s="103">
        <f t="shared" si="1"/>
        <v>398648.76</v>
      </c>
    </row>
    <row r="77" spans="1:8">
      <c r="A77" s="139" t="s">
        <v>318</v>
      </c>
      <c r="B77" s="139" t="s">
        <v>319</v>
      </c>
      <c r="C77" s="139" t="s">
        <v>156</v>
      </c>
      <c r="D77" s="139" t="s">
        <v>162</v>
      </c>
      <c r="E77" s="139" t="s">
        <v>100</v>
      </c>
      <c r="F77" s="102">
        <v>0</v>
      </c>
      <c r="G77" s="101"/>
      <c r="H77" s="103">
        <f t="shared" si="1"/>
        <v>0</v>
      </c>
    </row>
    <row r="78" spans="1:8">
      <c r="A78" s="139" t="s">
        <v>320</v>
      </c>
      <c r="B78" s="139" t="s">
        <v>321</v>
      </c>
      <c r="C78" s="139" t="s">
        <v>156</v>
      </c>
      <c r="D78" s="139" t="s">
        <v>162</v>
      </c>
      <c r="E78" s="139" t="s">
        <v>100</v>
      </c>
      <c r="F78" s="102">
        <v>198311.82</v>
      </c>
      <c r="G78" s="101"/>
      <c r="H78" s="103">
        <f t="shared" si="1"/>
        <v>198311.82</v>
      </c>
    </row>
    <row r="79" spans="1:8">
      <c r="A79" s="139" t="s">
        <v>322</v>
      </c>
      <c r="B79" s="139" t="s">
        <v>323</v>
      </c>
      <c r="C79" s="139" t="s">
        <v>156</v>
      </c>
      <c r="D79" s="139" t="s">
        <v>162</v>
      </c>
      <c r="E79" s="139" t="s">
        <v>100</v>
      </c>
      <c r="F79" s="102">
        <v>52610.74</v>
      </c>
      <c r="G79" s="101"/>
      <c r="H79" s="103">
        <f t="shared" si="1"/>
        <v>52610.74</v>
      </c>
    </row>
    <row r="80" spans="1:8">
      <c r="A80" s="139" t="s">
        <v>324</v>
      </c>
      <c r="B80" s="139" t="s">
        <v>325</v>
      </c>
      <c r="C80" s="139" t="s">
        <v>156</v>
      </c>
      <c r="D80" s="139" t="s">
        <v>162</v>
      </c>
      <c r="E80" s="139" t="s">
        <v>100</v>
      </c>
      <c r="F80" s="102">
        <v>5991.61</v>
      </c>
      <c r="G80" s="101"/>
      <c r="H80" s="103">
        <f t="shared" si="1"/>
        <v>5991.61</v>
      </c>
    </row>
    <row r="81" spans="1:8">
      <c r="A81" s="139" t="s">
        <v>326</v>
      </c>
      <c r="B81" s="139" t="s">
        <v>2150</v>
      </c>
      <c r="C81" s="139" t="s">
        <v>156</v>
      </c>
      <c r="D81" s="139" t="s">
        <v>162</v>
      </c>
      <c r="E81" s="139" t="s">
        <v>100</v>
      </c>
      <c r="F81" s="102">
        <v>0</v>
      </c>
      <c r="G81" s="101"/>
      <c r="H81" s="103">
        <f t="shared" si="1"/>
        <v>0</v>
      </c>
    </row>
    <row r="82" spans="1:8">
      <c r="A82" s="139" t="s">
        <v>328</v>
      </c>
      <c r="B82" s="139" t="s">
        <v>329</v>
      </c>
      <c r="C82" s="139" t="s">
        <v>156</v>
      </c>
      <c r="D82" s="139" t="s">
        <v>169</v>
      </c>
      <c r="E82" s="139" t="s">
        <v>330</v>
      </c>
      <c r="F82" s="102">
        <v>655562.93000000005</v>
      </c>
      <c r="G82" s="101"/>
      <c r="H82" s="103"/>
    </row>
    <row r="83" spans="1:8">
      <c r="A83" s="139" t="s">
        <v>331</v>
      </c>
      <c r="B83" s="139" t="s">
        <v>332</v>
      </c>
      <c r="C83" s="139" t="s">
        <v>156</v>
      </c>
      <c r="D83" s="139" t="s">
        <v>157</v>
      </c>
      <c r="E83" s="139" t="s">
        <v>100</v>
      </c>
      <c r="F83" s="102">
        <v>0</v>
      </c>
      <c r="G83" s="101"/>
      <c r="H83" s="103"/>
    </row>
    <row r="84" spans="1:8">
      <c r="A84" s="139" t="s">
        <v>333</v>
      </c>
      <c r="B84" s="139" t="s">
        <v>334</v>
      </c>
      <c r="C84" s="139" t="s">
        <v>156</v>
      </c>
      <c r="D84" s="139" t="s">
        <v>162</v>
      </c>
      <c r="E84" s="139" t="s">
        <v>100</v>
      </c>
      <c r="F84" s="102">
        <v>127476.51</v>
      </c>
      <c r="G84" s="101"/>
      <c r="H84" s="103">
        <f t="shared" si="1"/>
        <v>127476.51</v>
      </c>
    </row>
    <row r="85" spans="1:8">
      <c r="A85" s="139" t="s">
        <v>335</v>
      </c>
      <c r="B85" s="139" t="s">
        <v>336</v>
      </c>
      <c r="C85" s="139" t="s">
        <v>156</v>
      </c>
      <c r="D85" s="139" t="s">
        <v>162</v>
      </c>
      <c r="E85" s="139" t="s">
        <v>100</v>
      </c>
      <c r="F85" s="102">
        <v>100692.04</v>
      </c>
      <c r="G85" s="101"/>
      <c r="H85" s="103">
        <f t="shared" si="1"/>
        <v>100692.04</v>
      </c>
    </row>
    <row r="86" spans="1:8">
      <c r="A86" s="139" t="s">
        <v>337</v>
      </c>
      <c r="B86" s="139" t="s">
        <v>338</v>
      </c>
      <c r="C86" s="139" t="s">
        <v>156</v>
      </c>
      <c r="D86" s="139" t="s">
        <v>169</v>
      </c>
      <c r="E86" s="139" t="s">
        <v>339</v>
      </c>
      <c r="F86" s="102">
        <v>228168.55</v>
      </c>
      <c r="G86" s="101"/>
      <c r="H86" s="103"/>
    </row>
    <row r="87" spans="1:8">
      <c r="A87" s="139" t="s">
        <v>340</v>
      </c>
      <c r="B87" s="139" t="s">
        <v>341</v>
      </c>
      <c r="C87" s="139" t="s">
        <v>156</v>
      </c>
      <c r="D87" s="139" t="s">
        <v>169</v>
      </c>
      <c r="E87" s="139" t="s">
        <v>342</v>
      </c>
      <c r="F87" s="102">
        <v>9925783.6300000008</v>
      </c>
      <c r="G87" s="101"/>
      <c r="H87" s="103"/>
    </row>
    <row r="88" spans="1:8">
      <c r="A88" s="139" t="s">
        <v>2151</v>
      </c>
      <c r="B88" s="139" t="s">
        <v>371</v>
      </c>
      <c r="C88" s="139" t="s">
        <v>156</v>
      </c>
      <c r="D88" s="139" t="s">
        <v>157</v>
      </c>
      <c r="E88" s="139" t="s">
        <v>100</v>
      </c>
      <c r="F88" s="102">
        <v>0</v>
      </c>
      <c r="G88" s="101"/>
      <c r="H88" s="103"/>
    </row>
    <row r="89" spans="1:8">
      <c r="A89" s="139" t="s">
        <v>343</v>
      </c>
      <c r="B89" s="139" t="s">
        <v>2183</v>
      </c>
      <c r="C89" s="139" t="s">
        <v>156</v>
      </c>
      <c r="D89" s="139" t="s">
        <v>157</v>
      </c>
      <c r="E89" s="139" t="s">
        <v>100</v>
      </c>
      <c r="F89" s="102">
        <v>0</v>
      </c>
      <c r="G89" s="101"/>
      <c r="H89" s="103"/>
    </row>
    <row r="90" spans="1:8">
      <c r="A90" s="139" t="s">
        <v>361</v>
      </c>
      <c r="B90" s="139" t="s">
        <v>2152</v>
      </c>
      <c r="C90" s="139" t="s">
        <v>156</v>
      </c>
      <c r="D90" s="139" t="s">
        <v>162</v>
      </c>
      <c r="E90" s="139" t="s">
        <v>100</v>
      </c>
      <c r="F90" s="102">
        <v>0</v>
      </c>
      <c r="G90" s="101"/>
      <c r="H90" s="103">
        <f t="shared" si="1"/>
        <v>0</v>
      </c>
    </row>
    <row r="91" spans="1:8">
      <c r="A91" s="139" t="s">
        <v>363</v>
      </c>
      <c r="B91" s="139" t="s">
        <v>2153</v>
      </c>
      <c r="C91" s="139" t="s">
        <v>156</v>
      </c>
      <c r="D91" s="139" t="s">
        <v>162</v>
      </c>
      <c r="E91" s="139" t="s">
        <v>100</v>
      </c>
      <c r="F91" s="102">
        <v>0</v>
      </c>
      <c r="G91" s="101"/>
      <c r="H91" s="103">
        <f t="shared" si="1"/>
        <v>0</v>
      </c>
    </row>
    <row r="92" spans="1:8">
      <c r="A92" s="139" t="s">
        <v>365</v>
      </c>
      <c r="B92" s="139" t="s">
        <v>366</v>
      </c>
      <c r="C92" s="139" t="s">
        <v>156</v>
      </c>
      <c r="D92" s="139" t="s">
        <v>162</v>
      </c>
      <c r="E92" s="139" t="s">
        <v>100</v>
      </c>
      <c r="F92" s="102">
        <v>0</v>
      </c>
      <c r="G92" s="101"/>
      <c r="H92" s="103">
        <f t="shared" si="1"/>
        <v>0</v>
      </c>
    </row>
    <row r="93" spans="1:8">
      <c r="A93" s="139" t="s">
        <v>2184</v>
      </c>
      <c r="B93" s="139" t="s">
        <v>2185</v>
      </c>
      <c r="C93" s="139" t="s">
        <v>156</v>
      </c>
      <c r="D93" s="139" t="s">
        <v>169</v>
      </c>
      <c r="E93" s="139" t="s">
        <v>2186</v>
      </c>
      <c r="F93" s="102">
        <v>0</v>
      </c>
      <c r="G93" s="101"/>
      <c r="H93" s="103"/>
    </row>
    <row r="94" spans="1:8">
      <c r="A94" s="139" t="s">
        <v>370</v>
      </c>
      <c r="B94" s="139" t="s">
        <v>2154</v>
      </c>
      <c r="C94" s="139" t="s">
        <v>156</v>
      </c>
      <c r="D94" s="139" t="s">
        <v>157</v>
      </c>
      <c r="E94" s="139" t="s">
        <v>100</v>
      </c>
      <c r="F94" s="102">
        <v>0</v>
      </c>
      <c r="G94" s="101"/>
      <c r="H94" s="103"/>
    </row>
    <row r="95" spans="1:8">
      <c r="A95" s="139" t="s">
        <v>374</v>
      </c>
      <c r="B95" s="139" t="s">
        <v>375</v>
      </c>
      <c r="C95" s="139" t="s">
        <v>156</v>
      </c>
      <c r="D95" s="139" t="s">
        <v>162</v>
      </c>
      <c r="E95" s="139" t="s">
        <v>100</v>
      </c>
      <c r="F95" s="102">
        <v>172293.27</v>
      </c>
      <c r="G95" s="101"/>
      <c r="H95" s="103">
        <f t="shared" si="1"/>
        <v>172293.27</v>
      </c>
    </row>
    <row r="96" spans="1:8">
      <c r="A96" s="139" t="s">
        <v>2155</v>
      </c>
      <c r="B96" s="139" t="s">
        <v>2156</v>
      </c>
      <c r="C96" s="139" t="s">
        <v>156</v>
      </c>
      <c r="D96" s="139" t="s">
        <v>162</v>
      </c>
      <c r="E96" s="139" t="s">
        <v>100</v>
      </c>
      <c r="F96" s="102">
        <v>0</v>
      </c>
      <c r="G96" s="101"/>
      <c r="H96" s="103">
        <f t="shared" si="1"/>
        <v>0</v>
      </c>
    </row>
    <row r="97" spans="1:8">
      <c r="A97" s="139" t="s">
        <v>378</v>
      </c>
      <c r="B97" s="139" t="s">
        <v>379</v>
      </c>
      <c r="C97" s="139" t="s">
        <v>156</v>
      </c>
      <c r="D97" s="139" t="s">
        <v>169</v>
      </c>
      <c r="E97" s="139" t="s">
        <v>2157</v>
      </c>
      <c r="F97" s="102">
        <v>172293.27</v>
      </c>
      <c r="G97" s="101"/>
      <c r="H97" s="103"/>
    </row>
    <row r="98" spans="1:8">
      <c r="A98" s="139" t="s">
        <v>2187</v>
      </c>
      <c r="B98" s="139" t="s">
        <v>344</v>
      </c>
      <c r="C98" s="139" t="s">
        <v>156</v>
      </c>
      <c r="D98" s="139" t="s">
        <v>157</v>
      </c>
      <c r="E98" s="139" t="s">
        <v>100</v>
      </c>
      <c r="F98" s="102">
        <v>0</v>
      </c>
      <c r="G98" s="101"/>
      <c r="H98" s="103"/>
    </row>
    <row r="99" spans="1:8">
      <c r="A99" s="139" t="s">
        <v>2188</v>
      </c>
      <c r="B99" s="139" t="s">
        <v>346</v>
      </c>
      <c r="C99" s="139" t="s">
        <v>156</v>
      </c>
      <c r="D99" s="139" t="s">
        <v>162</v>
      </c>
      <c r="E99" s="139" t="s">
        <v>100</v>
      </c>
      <c r="F99" s="102">
        <v>17605</v>
      </c>
      <c r="G99" s="101"/>
      <c r="H99" s="103">
        <f t="shared" si="1"/>
        <v>17605</v>
      </c>
    </row>
    <row r="100" spans="1:8">
      <c r="A100" s="139" t="s">
        <v>2189</v>
      </c>
      <c r="B100" s="139" t="s">
        <v>348</v>
      </c>
      <c r="C100" s="139" t="s">
        <v>156</v>
      </c>
      <c r="D100" s="139" t="s">
        <v>162</v>
      </c>
      <c r="E100" s="139" t="s">
        <v>100</v>
      </c>
      <c r="F100" s="102">
        <v>63878.37</v>
      </c>
      <c r="G100" s="101"/>
      <c r="H100" s="103">
        <f t="shared" si="1"/>
        <v>63878.37</v>
      </c>
    </row>
    <row r="101" spans="1:8">
      <c r="A101" s="139" t="s">
        <v>2190</v>
      </c>
      <c r="B101" s="139" t="s">
        <v>350</v>
      </c>
      <c r="C101" s="139" t="s">
        <v>156</v>
      </c>
      <c r="D101" s="139" t="s">
        <v>162</v>
      </c>
      <c r="E101" s="139" t="s">
        <v>100</v>
      </c>
      <c r="F101" s="102">
        <v>0</v>
      </c>
      <c r="G101" s="101"/>
      <c r="H101" s="103">
        <f t="shared" si="1"/>
        <v>0</v>
      </c>
    </row>
    <row r="102" spans="1:8">
      <c r="A102" s="139" t="s">
        <v>2191</v>
      </c>
      <c r="B102" s="139" t="s">
        <v>352</v>
      </c>
      <c r="C102" s="139" t="s">
        <v>156</v>
      </c>
      <c r="D102" s="139" t="s">
        <v>162</v>
      </c>
      <c r="E102" s="139" t="s">
        <v>100</v>
      </c>
      <c r="F102" s="102">
        <v>0</v>
      </c>
      <c r="G102" s="101"/>
      <c r="H102" s="103">
        <f t="shared" si="1"/>
        <v>0</v>
      </c>
    </row>
    <row r="103" spans="1:8">
      <c r="A103" s="139" t="s">
        <v>2192</v>
      </c>
      <c r="B103" s="139" t="s">
        <v>354</v>
      </c>
      <c r="C103" s="139" t="s">
        <v>156</v>
      </c>
      <c r="D103" s="139" t="s">
        <v>162</v>
      </c>
      <c r="E103" s="139" t="s">
        <v>100</v>
      </c>
      <c r="F103" s="102">
        <v>8123.43</v>
      </c>
      <c r="G103" s="101"/>
      <c r="H103" s="103">
        <f t="shared" si="1"/>
        <v>8123.43</v>
      </c>
    </row>
    <row r="104" spans="1:8">
      <c r="A104" s="139" t="s">
        <v>2193</v>
      </c>
      <c r="B104" s="139" t="s">
        <v>356</v>
      </c>
      <c r="C104" s="139" t="s">
        <v>156</v>
      </c>
      <c r="D104" s="139" t="s">
        <v>162</v>
      </c>
      <c r="E104" s="139" t="s">
        <v>100</v>
      </c>
      <c r="F104" s="102">
        <v>364.8</v>
      </c>
      <c r="G104" s="101"/>
      <c r="H104" s="103">
        <f t="shared" si="1"/>
        <v>364.8</v>
      </c>
    </row>
    <row r="105" spans="1:8">
      <c r="A105" s="139" t="s">
        <v>2194</v>
      </c>
      <c r="B105" s="139" t="s">
        <v>358</v>
      </c>
      <c r="C105" s="139" t="s">
        <v>156</v>
      </c>
      <c r="D105" s="139" t="s">
        <v>162</v>
      </c>
      <c r="E105" s="139" t="s">
        <v>100</v>
      </c>
      <c r="F105" s="102">
        <v>138441.25</v>
      </c>
      <c r="G105" s="101"/>
      <c r="H105" s="103">
        <f t="shared" si="1"/>
        <v>138441.25</v>
      </c>
    </row>
    <row r="106" spans="1:8">
      <c r="A106" s="139" t="s">
        <v>2195</v>
      </c>
      <c r="B106" s="139" t="s">
        <v>360</v>
      </c>
      <c r="C106" s="139" t="s">
        <v>156</v>
      </c>
      <c r="D106" s="139" t="s">
        <v>162</v>
      </c>
      <c r="E106" s="139" t="s">
        <v>100</v>
      </c>
      <c r="F106" s="102">
        <v>60985.99</v>
      </c>
      <c r="G106" s="101"/>
      <c r="H106" s="103">
        <f t="shared" si="1"/>
        <v>60985.99</v>
      </c>
    </row>
    <row r="107" spans="1:8">
      <c r="A107" s="139" t="s">
        <v>2196</v>
      </c>
      <c r="B107" s="139" t="s">
        <v>368</v>
      </c>
      <c r="C107" s="139" t="s">
        <v>156</v>
      </c>
      <c r="D107" s="139" t="s">
        <v>169</v>
      </c>
      <c r="E107" s="139" t="s">
        <v>2197</v>
      </c>
      <c r="F107" s="102">
        <v>289398.84000000003</v>
      </c>
      <c r="G107" s="101"/>
      <c r="H107" s="103"/>
    </row>
    <row r="108" spans="1:8">
      <c r="A108" s="139" t="s">
        <v>381</v>
      </c>
      <c r="B108" s="139" t="s">
        <v>382</v>
      </c>
      <c r="C108" s="139" t="s">
        <v>156</v>
      </c>
      <c r="D108" s="139" t="s">
        <v>157</v>
      </c>
      <c r="E108" s="139" t="s">
        <v>100</v>
      </c>
      <c r="F108" s="102">
        <v>0</v>
      </c>
      <c r="G108" s="101"/>
      <c r="H108" s="103"/>
    </row>
    <row r="109" spans="1:8">
      <c r="A109" s="139" t="s">
        <v>383</v>
      </c>
      <c r="B109" s="139" t="s">
        <v>384</v>
      </c>
      <c r="C109" s="139" t="s">
        <v>156</v>
      </c>
      <c r="D109" s="139" t="s">
        <v>162</v>
      </c>
      <c r="E109" s="139" t="s">
        <v>100</v>
      </c>
      <c r="F109" s="102">
        <v>23196.36</v>
      </c>
      <c r="G109" s="101"/>
      <c r="H109" s="103">
        <f t="shared" si="1"/>
        <v>23196.36</v>
      </c>
    </row>
    <row r="110" spans="1:8">
      <c r="A110" s="139" t="s">
        <v>385</v>
      </c>
      <c r="B110" s="139" t="s">
        <v>386</v>
      </c>
      <c r="C110" s="139" t="s">
        <v>156</v>
      </c>
      <c r="D110" s="139" t="s">
        <v>162</v>
      </c>
      <c r="E110" s="139" t="s">
        <v>100</v>
      </c>
      <c r="F110" s="102">
        <v>62249.1</v>
      </c>
      <c r="G110" s="101"/>
      <c r="H110" s="103">
        <f t="shared" si="1"/>
        <v>62249.1</v>
      </c>
    </row>
    <row r="111" spans="1:8">
      <c r="A111" s="139" t="s">
        <v>387</v>
      </c>
      <c r="B111" s="139" t="s">
        <v>388</v>
      </c>
      <c r="C111" s="139" t="s">
        <v>156</v>
      </c>
      <c r="D111" s="139" t="s">
        <v>162</v>
      </c>
      <c r="E111" s="139" t="s">
        <v>100</v>
      </c>
      <c r="F111" s="102">
        <v>49843.56</v>
      </c>
      <c r="G111" s="101">
        <f>90529.44-71805.75</f>
        <v>18723.690000000002</v>
      </c>
      <c r="H111" s="103">
        <f t="shared" si="1"/>
        <v>68567.25</v>
      </c>
    </row>
    <row r="112" spans="1:8">
      <c r="A112" s="139" t="s">
        <v>389</v>
      </c>
      <c r="B112" s="139" t="s">
        <v>390</v>
      </c>
      <c r="C112" s="139" t="s">
        <v>156</v>
      </c>
      <c r="D112" s="139" t="s">
        <v>162</v>
      </c>
      <c r="E112" s="139" t="s">
        <v>100</v>
      </c>
      <c r="F112" s="102">
        <v>32392.23</v>
      </c>
      <c r="G112" s="101"/>
      <c r="H112" s="103">
        <f t="shared" si="1"/>
        <v>32392.23</v>
      </c>
    </row>
    <row r="113" spans="1:8">
      <c r="A113" s="139" t="s">
        <v>391</v>
      </c>
      <c r="B113" s="139" t="s">
        <v>392</v>
      </c>
      <c r="C113" s="139" t="s">
        <v>156</v>
      </c>
      <c r="D113" s="139" t="s">
        <v>162</v>
      </c>
      <c r="E113" s="139" t="s">
        <v>100</v>
      </c>
      <c r="F113" s="102">
        <v>3080</v>
      </c>
      <c r="G113" s="101"/>
      <c r="H113" s="103">
        <f t="shared" si="1"/>
        <v>3080</v>
      </c>
    </row>
    <row r="114" spans="1:8">
      <c r="A114" s="139" t="s">
        <v>393</v>
      </c>
      <c r="B114" s="139" t="s">
        <v>394</v>
      </c>
      <c r="C114" s="139" t="s">
        <v>156</v>
      </c>
      <c r="D114" s="139" t="s">
        <v>162</v>
      </c>
      <c r="E114" s="139" t="s">
        <v>100</v>
      </c>
      <c r="F114" s="102">
        <v>0</v>
      </c>
      <c r="G114" s="101"/>
      <c r="H114" s="103">
        <f t="shared" si="1"/>
        <v>0</v>
      </c>
    </row>
    <row r="115" spans="1:8">
      <c r="A115" s="139" t="s">
        <v>395</v>
      </c>
      <c r="B115" s="139" t="s">
        <v>396</v>
      </c>
      <c r="C115" s="139" t="s">
        <v>156</v>
      </c>
      <c r="D115" s="139" t="s">
        <v>162</v>
      </c>
      <c r="E115" s="139" t="s">
        <v>100</v>
      </c>
      <c r="F115" s="102">
        <v>-7288.8</v>
      </c>
      <c r="G115" s="101"/>
      <c r="H115" s="103">
        <f t="shared" si="1"/>
        <v>-7288.8</v>
      </c>
    </row>
    <row r="116" spans="1:8">
      <c r="A116" s="139" t="s">
        <v>397</v>
      </c>
      <c r="B116" s="139" t="s">
        <v>398</v>
      </c>
      <c r="C116" s="139" t="s">
        <v>156</v>
      </c>
      <c r="D116" s="139" t="s">
        <v>162</v>
      </c>
      <c r="E116" s="139" t="s">
        <v>100</v>
      </c>
      <c r="F116" s="102">
        <v>17255.03</v>
      </c>
      <c r="G116" s="101"/>
      <c r="H116" s="103">
        <f t="shared" si="1"/>
        <v>17255.03</v>
      </c>
    </row>
    <row r="117" spans="1:8">
      <c r="A117" s="139" t="s">
        <v>399</v>
      </c>
      <c r="B117" s="139" t="s">
        <v>400</v>
      </c>
      <c r="C117" s="139" t="s">
        <v>156</v>
      </c>
      <c r="D117" s="139" t="s">
        <v>162</v>
      </c>
      <c r="E117" s="139" t="s">
        <v>100</v>
      </c>
      <c r="F117" s="102">
        <v>70926.100000000006</v>
      </c>
      <c r="G117" s="101"/>
      <c r="H117" s="103">
        <f t="shared" si="1"/>
        <v>70926.100000000006</v>
      </c>
    </row>
    <row r="118" spans="1:8">
      <c r="A118" s="139" t="s">
        <v>401</v>
      </c>
      <c r="B118" s="139" t="s">
        <v>402</v>
      </c>
      <c r="C118" s="139" t="s">
        <v>156</v>
      </c>
      <c r="D118" s="139" t="s">
        <v>162</v>
      </c>
      <c r="E118" s="139" t="s">
        <v>100</v>
      </c>
      <c r="F118" s="102">
        <v>-4098.5600000000004</v>
      </c>
      <c r="G118" s="101"/>
      <c r="H118" s="103">
        <f t="shared" si="1"/>
        <v>-4098.5600000000004</v>
      </c>
    </row>
    <row r="119" spans="1:8">
      <c r="A119" s="139" t="s">
        <v>403</v>
      </c>
      <c r="B119" s="139" t="s">
        <v>404</v>
      </c>
      <c r="C119" s="139" t="s">
        <v>156</v>
      </c>
      <c r="D119" s="139" t="s">
        <v>162</v>
      </c>
      <c r="E119" s="139" t="s">
        <v>100</v>
      </c>
      <c r="F119" s="102">
        <v>1091.78</v>
      </c>
      <c r="G119" s="101"/>
      <c r="H119" s="103">
        <f t="shared" si="1"/>
        <v>1091.78</v>
      </c>
    </row>
    <row r="120" spans="1:8">
      <c r="A120" s="139" t="s">
        <v>405</v>
      </c>
      <c r="B120" s="139" t="s">
        <v>406</v>
      </c>
      <c r="C120" s="139" t="s">
        <v>156</v>
      </c>
      <c r="D120" s="139" t="s">
        <v>162</v>
      </c>
      <c r="E120" s="139" t="s">
        <v>100</v>
      </c>
      <c r="F120" s="102">
        <v>-78097.320000000007</v>
      </c>
      <c r="G120" s="101"/>
      <c r="H120" s="103">
        <f t="shared" si="1"/>
        <v>-78097.320000000007</v>
      </c>
    </row>
    <row r="121" spans="1:8">
      <c r="A121" s="139" t="s">
        <v>407</v>
      </c>
      <c r="B121" s="139" t="s">
        <v>220</v>
      </c>
      <c r="C121" s="139" t="s">
        <v>156</v>
      </c>
      <c r="D121" s="139" t="s">
        <v>162</v>
      </c>
      <c r="E121" s="139" t="s">
        <v>100</v>
      </c>
      <c r="F121" s="102">
        <v>0</v>
      </c>
      <c r="G121" s="101"/>
      <c r="H121" s="103">
        <f t="shared" si="1"/>
        <v>0</v>
      </c>
    </row>
    <row r="122" spans="1:8">
      <c r="A122" s="139" t="s">
        <v>408</v>
      </c>
      <c r="B122" s="139" t="s">
        <v>409</v>
      </c>
      <c r="C122" s="139" t="s">
        <v>156</v>
      </c>
      <c r="D122" s="139" t="s">
        <v>169</v>
      </c>
      <c r="E122" s="139" t="s">
        <v>410</v>
      </c>
      <c r="F122" s="102">
        <v>170549.48</v>
      </c>
      <c r="G122" s="101"/>
      <c r="H122" s="103"/>
    </row>
    <row r="123" spans="1:8">
      <c r="A123" s="139" t="s">
        <v>411</v>
      </c>
      <c r="B123" s="139" t="s">
        <v>412</v>
      </c>
      <c r="C123" s="139" t="s">
        <v>156</v>
      </c>
      <c r="D123" s="139" t="s">
        <v>157</v>
      </c>
      <c r="E123" s="139" t="s">
        <v>100</v>
      </c>
      <c r="F123" s="102">
        <v>0</v>
      </c>
      <c r="G123" s="101"/>
      <c r="H123" s="103"/>
    </row>
    <row r="124" spans="1:8">
      <c r="A124" s="139" t="s">
        <v>413</v>
      </c>
      <c r="B124" s="139" t="s">
        <v>414</v>
      </c>
      <c r="C124" s="139" t="s">
        <v>156</v>
      </c>
      <c r="D124" s="139" t="s">
        <v>162</v>
      </c>
      <c r="E124" s="139" t="s">
        <v>100</v>
      </c>
      <c r="F124" s="102">
        <v>48000</v>
      </c>
      <c r="G124" s="101">
        <v>-48000</v>
      </c>
      <c r="H124" s="103">
        <f t="shared" si="1"/>
        <v>0</v>
      </c>
    </row>
    <row r="125" spans="1:8">
      <c r="A125" s="139" t="s">
        <v>415</v>
      </c>
      <c r="B125" s="139" t="s">
        <v>416</v>
      </c>
      <c r="C125" s="139" t="s">
        <v>156</v>
      </c>
      <c r="D125" s="139" t="s">
        <v>169</v>
      </c>
      <c r="E125" s="139" t="s">
        <v>417</v>
      </c>
      <c r="F125" s="102">
        <v>48000</v>
      </c>
      <c r="G125" s="101"/>
      <c r="H125" s="103"/>
    </row>
    <row r="126" spans="1:8">
      <c r="A126" s="139" t="s">
        <v>418</v>
      </c>
      <c r="B126" s="139" t="s">
        <v>419</v>
      </c>
      <c r="C126" s="139" t="s">
        <v>156</v>
      </c>
      <c r="D126" s="139" t="s">
        <v>157</v>
      </c>
      <c r="E126" s="139" t="s">
        <v>100</v>
      </c>
      <c r="F126" s="102">
        <v>0</v>
      </c>
      <c r="G126" s="101"/>
      <c r="H126" s="103"/>
    </row>
    <row r="127" spans="1:8">
      <c r="A127" s="139" t="s">
        <v>420</v>
      </c>
      <c r="B127" s="139" t="s">
        <v>56</v>
      </c>
      <c r="C127" s="139" t="s">
        <v>156</v>
      </c>
      <c r="D127" s="139" t="s">
        <v>162</v>
      </c>
      <c r="E127" s="139" t="s">
        <v>100</v>
      </c>
      <c r="F127" s="102">
        <v>0</v>
      </c>
      <c r="G127" s="101">
        <v>147982.25</v>
      </c>
      <c r="H127" s="103">
        <f t="shared" si="1"/>
        <v>147982.25</v>
      </c>
    </row>
    <row r="128" spans="1:8">
      <c r="A128" s="139" t="s">
        <v>421</v>
      </c>
      <c r="B128" s="139" t="s">
        <v>422</v>
      </c>
      <c r="C128" s="139" t="s">
        <v>156</v>
      </c>
      <c r="D128" s="139" t="s">
        <v>169</v>
      </c>
      <c r="E128" s="139" t="s">
        <v>423</v>
      </c>
      <c r="F128" s="102">
        <v>0</v>
      </c>
      <c r="G128" s="101"/>
      <c r="H128" s="103"/>
    </row>
    <row r="129" spans="1:8">
      <c r="A129" s="139" t="s">
        <v>2158</v>
      </c>
      <c r="B129" s="139" t="s">
        <v>425</v>
      </c>
      <c r="C129" s="139" t="s">
        <v>156</v>
      </c>
      <c r="D129" s="139" t="s">
        <v>169</v>
      </c>
      <c r="E129" s="139" t="s">
        <v>2159</v>
      </c>
      <c r="F129" s="102">
        <v>680241.59</v>
      </c>
      <c r="G129" s="101"/>
      <c r="H129" s="103"/>
    </row>
    <row r="130" spans="1:8">
      <c r="A130" s="139" t="s">
        <v>427</v>
      </c>
      <c r="B130" s="139" t="s">
        <v>428</v>
      </c>
      <c r="C130" s="139" t="s">
        <v>156</v>
      </c>
      <c r="D130" s="139" t="s">
        <v>157</v>
      </c>
      <c r="E130" s="139" t="s">
        <v>100</v>
      </c>
      <c r="F130" s="102">
        <v>0</v>
      </c>
      <c r="G130" s="101"/>
      <c r="H130" s="103"/>
    </row>
    <row r="131" spans="1:8">
      <c r="A131" s="139" t="s">
        <v>430</v>
      </c>
      <c r="B131" s="139" t="s">
        <v>431</v>
      </c>
      <c r="C131" s="139" t="s">
        <v>156</v>
      </c>
      <c r="D131" s="139" t="s">
        <v>162</v>
      </c>
      <c r="E131" s="139" t="s">
        <v>100</v>
      </c>
      <c r="F131" s="102">
        <v>0</v>
      </c>
      <c r="G131" s="101"/>
      <c r="H131" s="103">
        <f t="shared" si="1"/>
        <v>0</v>
      </c>
    </row>
    <row r="132" spans="1:8">
      <c r="A132" s="139" t="s">
        <v>439</v>
      </c>
      <c r="B132" s="139" t="s">
        <v>440</v>
      </c>
      <c r="C132" s="139" t="s">
        <v>156</v>
      </c>
      <c r="D132" s="139" t="s">
        <v>162</v>
      </c>
      <c r="E132" s="139" t="s">
        <v>100</v>
      </c>
      <c r="F132" s="102">
        <v>0</v>
      </c>
      <c r="G132" s="101"/>
      <c r="H132" s="103">
        <f t="shared" si="1"/>
        <v>0</v>
      </c>
    </row>
    <row r="133" spans="1:8">
      <c r="A133" s="139" t="s">
        <v>441</v>
      </c>
      <c r="B133" s="139" t="s">
        <v>2160</v>
      </c>
      <c r="C133" s="139" t="s">
        <v>156</v>
      </c>
      <c r="D133" s="139" t="s">
        <v>162</v>
      </c>
      <c r="E133" s="139" t="s">
        <v>100</v>
      </c>
      <c r="F133" s="102">
        <v>0</v>
      </c>
      <c r="G133" s="101"/>
      <c r="H133" s="103">
        <f t="shared" si="1"/>
        <v>0</v>
      </c>
    </row>
    <row r="134" spans="1:8">
      <c r="A134" s="139" t="s">
        <v>443</v>
      </c>
      <c r="B134" s="139" t="s">
        <v>216</v>
      </c>
      <c r="C134" s="139" t="s">
        <v>156</v>
      </c>
      <c r="D134" s="139" t="s">
        <v>162</v>
      </c>
      <c r="E134" s="139" t="s">
        <v>100</v>
      </c>
      <c r="F134" s="102">
        <v>13250</v>
      </c>
      <c r="G134" s="101">
        <v>56881</v>
      </c>
      <c r="H134" s="103">
        <f t="shared" ref="H134:H197" si="2">SUM(F134:G134)</f>
        <v>70131</v>
      </c>
    </row>
    <row r="135" spans="1:8">
      <c r="A135" s="139" t="s">
        <v>445</v>
      </c>
      <c r="B135" s="139" t="s">
        <v>446</v>
      </c>
      <c r="C135" s="139" t="s">
        <v>156</v>
      </c>
      <c r="D135" s="139" t="s">
        <v>162</v>
      </c>
      <c r="E135" s="139" t="s">
        <v>100</v>
      </c>
      <c r="F135" s="102">
        <v>-245.6</v>
      </c>
      <c r="G135" s="101"/>
      <c r="H135" s="103">
        <f t="shared" si="2"/>
        <v>-245.6</v>
      </c>
    </row>
    <row r="136" spans="1:8">
      <c r="A136" s="139" t="s">
        <v>447</v>
      </c>
      <c r="B136" s="139" t="s">
        <v>448</v>
      </c>
      <c r="C136" s="139" t="s">
        <v>156</v>
      </c>
      <c r="D136" s="139" t="s">
        <v>162</v>
      </c>
      <c r="E136" s="139" t="s">
        <v>100</v>
      </c>
      <c r="F136" s="102">
        <v>598180.14</v>
      </c>
      <c r="G136" s="101"/>
      <c r="H136" s="103">
        <f t="shared" si="2"/>
        <v>598180.14</v>
      </c>
    </row>
    <row r="137" spans="1:8">
      <c r="A137" s="139" t="s">
        <v>449</v>
      </c>
      <c r="B137" s="139" t="s">
        <v>450</v>
      </c>
      <c r="C137" s="139" t="s">
        <v>156</v>
      </c>
      <c r="D137" s="139" t="s">
        <v>162</v>
      </c>
      <c r="E137" s="139" t="s">
        <v>100</v>
      </c>
      <c r="F137" s="102">
        <v>597367.11</v>
      </c>
      <c r="G137" s="101"/>
      <c r="H137" s="103">
        <f t="shared" si="2"/>
        <v>597367.11</v>
      </c>
    </row>
    <row r="138" spans="1:8">
      <c r="A138" s="139" t="s">
        <v>451</v>
      </c>
      <c r="B138" s="139" t="s">
        <v>2161</v>
      </c>
      <c r="C138" s="139" t="s">
        <v>156</v>
      </c>
      <c r="D138" s="139" t="s">
        <v>162</v>
      </c>
      <c r="E138" s="139" t="s">
        <v>100</v>
      </c>
      <c r="F138" s="102">
        <v>365397.38</v>
      </c>
      <c r="G138" s="101"/>
      <c r="H138" s="103">
        <f t="shared" si="2"/>
        <v>365397.38</v>
      </c>
    </row>
    <row r="139" spans="1:8">
      <c r="A139" s="139" t="s">
        <v>453</v>
      </c>
      <c r="B139" s="139" t="s">
        <v>454</v>
      </c>
      <c r="C139" s="139" t="s">
        <v>156</v>
      </c>
      <c r="D139" s="139" t="s">
        <v>162</v>
      </c>
      <c r="E139" s="139" t="s">
        <v>100</v>
      </c>
      <c r="F139" s="102">
        <v>0</v>
      </c>
      <c r="G139" s="101"/>
      <c r="H139" s="103">
        <f t="shared" si="2"/>
        <v>0</v>
      </c>
    </row>
    <row r="140" spans="1:8">
      <c r="A140" s="139" t="s">
        <v>455</v>
      </c>
      <c r="B140" s="139" t="s">
        <v>456</v>
      </c>
      <c r="C140" s="139" t="s">
        <v>156</v>
      </c>
      <c r="D140" s="139" t="s">
        <v>162</v>
      </c>
      <c r="E140" s="139" t="s">
        <v>100</v>
      </c>
      <c r="F140" s="102">
        <v>691.05</v>
      </c>
      <c r="G140" s="101"/>
      <c r="H140" s="103">
        <f t="shared" si="2"/>
        <v>691.05</v>
      </c>
    </row>
    <row r="141" spans="1:8">
      <c r="A141" s="139" t="s">
        <v>457</v>
      </c>
      <c r="B141" s="139" t="s">
        <v>458</v>
      </c>
      <c r="C141" s="139" t="s">
        <v>156</v>
      </c>
      <c r="D141" s="139" t="s">
        <v>162</v>
      </c>
      <c r="E141" s="139" t="s">
        <v>100</v>
      </c>
      <c r="F141" s="102">
        <v>70559.11</v>
      </c>
      <c r="G141" s="101"/>
      <c r="H141" s="103">
        <f t="shared" si="2"/>
        <v>70559.11</v>
      </c>
    </row>
    <row r="142" spans="1:8">
      <c r="A142" s="139" t="s">
        <v>459</v>
      </c>
      <c r="B142" s="139" t="s">
        <v>460</v>
      </c>
      <c r="C142" s="139" t="s">
        <v>156</v>
      </c>
      <c r="D142" s="139" t="s">
        <v>162</v>
      </c>
      <c r="E142" s="139" t="s">
        <v>100</v>
      </c>
      <c r="F142" s="102">
        <v>12127.92</v>
      </c>
      <c r="G142" s="101"/>
      <c r="H142" s="103">
        <f t="shared" si="2"/>
        <v>12127.92</v>
      </c>
    </row>
    <row r="143" spans="1:8">
      <c r="A143" s="139" t="s">
        <v>461</v>
      </c>
      <c r="B143" s="139" t="s">
        <v>462</v>
      </c>
      <c r="C143" s="139" t="s">
        <v>156</v>
      </c>
      <c r="D143" s="139" t="s">
        <v>169</v>
      </c>
      <c r="E143" s="139" t="s">
        <v>463</v>
      </c>
      <c r="F143" s="102">
        <v>1657327.11</v>
      </c>
      <c r="G143" s="101"/>
      <c r="H143" s="103"/>
    </row>
    <row r="144" spans="1:8">
      <c r="A144" s="139" t="s">
        <v>464</v>
      </c>
      <c r="B144" s="139" t="s">
        <v>465</v>
      </c>
      <c r="C144" s="139" t="s">
        <v>156</v>
      </c>
      <c r="D144" s="139" t="s">
        <v>157</v>
      </c>
      <c r="E144" s="139" t="s">
        <v>100</v>
      </c>
      <c r="F144" s="102">
        <v>0</v>
      </c>
      <c r="G144" s="101"/>
      <c r="H144" s="103"/>
    </row>
    <row r="145" spans="1:18">
      <c r="A145" s="139" t="s">
        <v>466</v>
      </c>
      <c r="B145" s="139" t="s">
        <v>467</v>
      </c>
      <c r="C145" s="139" t="s">
        <v>156</v>
      </c>
      <c r="D145" s="139" t="s">
        <v>157</v>
      </c>
      <c r="E145" s="139" t="s">
        <v>100</v>
      </c>
      <c r="F145" s="102">
        <v>0</v>
      </c>
      <c r="G145" s="101"/>
      <c r="H145" s="103"/>
      <c r="L145" s="270" t="s">
        <v>432</v>
      </c>
      <c r="M145" s="270" t="s">
        <v>148</v>
      </c>
      <c r="N145" s="270" t="s">
        <v>433</v>
      </c>
      <c r="O145" s="270" t="s">
        <v>475</v>
      </c>
      <c r="P145" s="270" t="s">
        <v>476</v>
      </c>
      <c r="Q145" s="270" t="s">
        <v>477</v>
      </c>
    </row>
    <row r="146" spans="1:18">
      <c r="A146" s="139" t="s">
        <v>468</v>
      </c>
      <c r="B146" s="139" t="s">
        <v>469</v>
      </c>
      <c r="C146" s="139" t="s">
        <v>156</v>
      </c>
      <c r="D146" s="139" t="s">
        <v>157</v>
      </c>
      <c r="E146" s="139" t="s">
        <v>100</v>
      </c>
      <c r="F146" s="102">
        <v>0</v>
      </c>
      <c r="G146" s="101"/>
      <c r="H146" s="103"/>
      <c r="L146" s="271" t="s">
        <v>468</v>
      </c>
      <c r="M146" s="271" t="s">
        <v>469</v>
      </c>
      <c r="N146" s="272">
        <v>0</v>
      </c>
      <c r="O146" s="112">
        <v>0</v>
      </c>
      <c r="P146" s="112">
        <v>0</v>
      </c>
      <c r="Q146" s="272">
        <v>0</v>
      </c>
      <c r="R146" s="3"/>
    </row>
    <row r="147" spans="1:18">
      <c r="A147" s="139" t="s">
        <v>470</v>
      </c>
      <c r="B147" s="139" t="s">
        <v>155</v>
      </c>
      <c r="C147" s="139" t="s">
        <v>156</v>
      </c>
      <c r="D147" s="139" t="s">
        <v>157</v>
      </c>
      <c r="E147" s="139" t="s">
        <v>100</v>
      </c>
      <c r="F147" s="102">
        <v>0</v>
      </c>
      <c r="G147" s="101"/>
      <c r="H147" s="103"/>
      <c r="L147" s="271" t="s">
        <v>470</v>
      </c>
      <c r="M147" s="271" t="s">
        <v>155</v>
      </c>
      <c r="N147" s="272">
        <v>0</v>
      </c>
      <c r="O147" s="112">
        <v>0</v>
      </c>
      <c r="P147" s="112">
        <v>0</v>
      </c>
      <c r="Q147" s="272">
        <v>0</v>
      </c>
      <c r="R147" s="3"/>
    </row>
    <row r="148" spans="1:18">
      <c r="A148" s="139" t="s">
        <v>471</v>
      </c>
      <c r="B148" s="139" t="s">
        <v>472</v>
      </c>
      <c r="C148" s="139" t="s">
        <v>156</v>
      </c>
      <c r="D148" s="139" t="s">
        <v>162</v>
      </c>
      <c r="E148" s="139" t="s">
        <v>100</v>
      </c>
      <c r="F148" s="102">
        <v>-3388057.25</v>
      </c>
      <c r="G148" s="101"/>
      <c r="H148" s="103">
        <f t="shared" si="2"/>
        <v>-3388057.25</v>
      </c>
      <c r="L148" s="271" t="s">
        <v>471</v>
      </c>
      <c r="M148" s="271" t="s">
        <v>472</v>
      </c>
      <c r="N148" s="272">
        <v>-3388057.25</v>
      </c>
      <c r="O148" s="111">
        <v>-1049685.79</v>
      </c>
      <c r="P148" s="111">
        <v>-2274515.46</v>
      </c>
      <c r="Q148" s="272">
        <v>-63856</v>
      </c>
      <c r="R148" s="3"/>
    </row>
    <row r="149" spans="1:18">
      <c r="A149" s="139" t="s">
        <v>473</v>
      </c>
      <c r="B149" s="139" t="s">
        <v>474</v>
      </c>
      <c r="C149" s="139" t="s">
        <v>156</v>
      </c>
      <c r="D149" s="139" t="s">
        <v>162</v>
      </c>
      <c r="E149" s="139" t="s">
        <v>100</v>
      </c>
      <c r="F149" s="102">
        <v>-1366796</v>
      </c>
      <c r="G149" s="101"/>
      <c r="H149" s="103">
        <f t="shared" si="2"/>
        <v>-1366796</v>
      </c>
      <c r="L149" s="271" t="s">
        <v>473</v>
      </c>
      <c r="M149" s="271" t="s">
        <v>474</v>
      </c>
      <c r="N149" s="272">
        <v>-1366796</v>
      </c>
      <c r="O149" s="111">
        <v>-121480</v>
      </c>
      <c r="P149" s="111">
        <v>-1245316</v>
      </c>
      <c r="Q149" s="272">
        <v>0</v>
      </c>
      <c r="R149" s="3"/>
    </row>
    <row r="150" spans="1:18">
      <c r="A150" s="139" t="s">
        <v>478</v>
      </c>
      <c r="B150" s="139" t="s">
        <v>479</v>
      </c>
      <c r="C150" s="139" t="s">
        <v>156</v>
      </c>
      <c r="D150" s="139" t="s">
        <v>162</v>
      </c>
      <c r="E150" s="139" t="s">
        <v>100</v>
      </c>
      <c r="F150" s="102">
        <v>310229.81</v>
      </c>
      <c r="G150" s="101"/>
      <c r="H150" s="103">
        <f t="shared" si="2"/>
        <v>310229.81</v>
      </c>
      <c r="L150" s="271" t="s">
        <v>478</v>
      </c>
      <c r="M150" s="271" t="s">
        <v>479</v>
      </c>
      <c r="N150" s="272">
        <v>310229.81</v>
      </c>
      <c r="O150" s="111">
        <v>60955.68</v>
      </c>
      <c r="P150" s="111">
        <v>249274.13</v>
      </c>
      <c r="Q150" s="272">
        <v>0</v>
      </c>
      <c r="R150" s="3"/>
    </row>
    <row r="151" spans="1:18">
      <c r="A151" s="139" t="s">
        <v>480</v>
      </c>
      <c r="B151" s="139" t="s">
        <v>481</v>
      </c>
      <c r="C151" s="139" t="s">
        <v>156</v>
      </c>
      <c r="D151" s="139" t="s">
        <v>162</v>
      </c>
      <c r="E151" s="139" t="s">
        <v>100</v>
      </c>
      <c r="F151" s="102">
        <v>-951869.12</v>
      </c>
      <c r="G151" s="101"/>
      <c r="H151" s="103">
        <f t="shared" si="2"/>
        <v>-951869.12</v>
      </c>
      <c r="L151" s="271" t="s">
        <v>480</v>
      </c>
      <c r="M151" s="271" t="s">
        <v>481</v>
      </c>
      <c r="N151" s="272">
        <v>-951869.12</v>
      </c>
      <c r="O151" s="111">
        <v>-29097.32</v>
      </c>
      <c r="P151" s="111">
        <v>-841956.9</v>
      </c>
      <c r="Q151" s="272">
        <v>-80814.899999999994</v>
      </c>
      <c r="R151" s="3"/>
    </row>
    <row r="152" spans="1:18">
      <c r="A152" s="139" t="s">
        <v>482</v>
      </c>
      <c r="B152" s="139" t="s">
        <v>278</v>
      </c>
      <c r="C152" s="139" t="s">
        <v>156</v>
      </c>
      <c r="D152" s="139" t="s">
        <v>169</v>
      </c>
      <c r="E152" s="139" t="s">
        <v>483</v>
      </c>
      <c r="F152" s="102">
        <v>-5396492.5599999996</v>
      </c>
      <c r="G152" s="101"/>
      <c r="H152" s="103"/>
      <c r="L152" s="271" t="s">
        <v>482</v>
      </c>
      <c r="M152" s="271" t="s">
        <v>278</v>
      </c>
      <c r="N152" s="272">
        <v>-5396492.5599999996</v>
      </c>
      <c r="O152" s="112"/>
      <c r="P152" s="112">
        <v>-4112514.23</v>
      </c>
      <c r="Q152" s="272">
        <v>-144670.9</v>
      </c>
      <c r="R152" s="3"/>
    </row>
    <row r="153" spans="1:18">
      <c r="A153" s="139" t="s">
        <v>484</v>
      </c>
      <c r="B153" s="139" t="s">
        <v>485</v>
      </c>
      <c r="C153" s="139" t="s">
        <v>156</v>
      </c>
      <c r="D153" s="139" t="s">
        <v>157</v>
      </c>
      <c r="E153" s="139" t="s">
        <v>100</v>
      </c>
      <c r="F153" s="102">
        <v>0</v>
      </c>
      <c r="G153" s="101"/>
      <c r="H153" s="103"/>
      <c r="L153" s="271" t="s">
        <v>484</v>
      </c>
      <c r="M153" s="271" t="s">
        <v>485</v>
      </c>
      <c r="N153" s="272">
        <v>0</v>
      </c>
      <c r="O153" s="112"/>
      <c r="P153" s="112">
        <v>0</v>
      </c>
      <c r="Q153" s="272"/>
      <c r="R153" s="3"/>
    </row>
    <row r="154" spans="1:18">
      <c r="A154" s="139" t="s">
        <v>486</v>
      </c>
      <c r="B154" s="139" t="s">
        <v>487</v>
      </c>
      <c r="C154" s="139" t="s">
        <v>156</v>
      </c>
      <c r="D154" s="139" t="s">
        <v>162</v>
      </c>
      <c r="E154" s="139" t="s">
        <v>100</v>
      </c>
      <c r="F154" s="102">
        <v>252134.64</v>
      </c>
      <c r="G154" s="101"/>
      <c r="H154" s="103">
        <f t="shared" si="2"/>
        <v>252134.64</v>
      </c>
      <c r="L154" s="271" t="s">
        <v>486</v>
      </c>
      <c r="M154" s="271" t="s">
        <v>487</v>
      </c>
      <c r="N154" s="272">
        <v>252134.64</v>
      </c>
      <c r="O154" s="111">
        <v>105895.99</v>
      </c>
      <c r="P154" s="111">
        <v>146238.65</v>
      </c>
      <c r="Q154" s="272"/>
      <c r="R154" s="3"/>
    </row>
    <row r="155" spans="1:18">
      <c r="A155" s="139" t="s">
        <v>488</v>
      </c>
      <c r="B155" s="139" t="s">
        <v>489</v>
      </c>
      <c r="C155" s="139" t="s">
        <v>156</v>
      </c>
      <c r="D155" s="139" t="s">
        <v>162</v>
      </c>
      <c r="E155" s="139" t="s">
        <v>100</v>
      </c>
      <c r="F155" s="102">
        <v>239417.62</v>
      </c>
      <c r="G155" s="101"/>
      <c r="H155" s="103">
        <f t="shared" si="2"/>
        <v>239417.62</v>
      </c>
      <c r="L155" s="271" t="s">
        <v>488</v>
      </c>
      <c r="M155" s="271" t="s">
        <v>489</v>
      </c>
      <c r="N155" s="272">
        <v>239417.62</v>
      </c>
      <c r="O155" s="111">
        <v>216867.24</v>
      </c>
      <c r="P155" s="111">
        <v>23240.16</v>
      </c>
      <c r="Q155" s="113">
        <v>-689.78</v>
      </c>
      <c r="R155" s="3"/>
    </row>
    <row r="156" spans="1:18">
      <c r="A156" s="139" t="s">
        <v>490</v>
      </c>
      <c r="B156" s="139" t="s">
        <v>491</v>
      </c>
      <c r="C156" s="139" t="s">
        <v>156</v>
      </c>
      <c r="D156" s="139" t="s">
        <v>162</v>
      </c>
      <c r="E156" s="139" t="s">
        <v>100</v>
      </c>
      <c r="F156" s="102">
        <v>38129.279999999999</v>
      </c>
      <c r="G156" s="101"/>
      <c r="H156" s="103">
        <f t="shared" si="2"/>
        <v>38129.279999999999</v>
      </c>
      <c r="L156" s="271" t="s">
        <v>490</v>
      </c>
      <c r="M156" s="271" t="s">
        <v>491</v>
      </c>
      <c r="N156" s="272">
        <v>38129.279999999999</v>
      </c>
      <c r="O156" s="111">
        <v>6588.9</v>
      </c>
      <c r="P156" s="111">
        <v>26868.92</v>
      </c>
      <c r="Q156" s="113">
        <v>4671.46</v>
      </c>
      <c r="R156" s="3"/>
    </row>
    <row r="157" spans="1:18">
      <c r="A157" s="139" t="s">
        <v>492</v>
      </c>
      <c r="B157" s="139" t="s">
        <v>493</v>
      </c>
      <c r="C157" s="139" t="s">
        <v>156</v>
      </c>
      <c r="D157" s="139" t="s">
        <v>162</v>
      </c>
      <c r="E157" s="139" t="s">
        <v>100</v>
      </c>
      <c r="F157" s="102">
        <v>15928.73</v>
      </c>
      <c r="G157" s="101">
        <v>-4100.6499999999996</v>
      </c>
      <c r="H157" s="103">
        <f t="shared" si="2"/>
        <v>11828.08</v>
      </c>
      <c r="L157" s="271" t="s">
        <v>492</v>
      </c>
      <c r="M157" s="271" t="s">
        <v>493</v>
      </c>
      <c r="N157" s="272">
        <v>15928.73</v>
      </c>
      <c r="O157" s="111">
        <v>15928.73</v>
      </c>
      <c r="P157" s="111">
        <v>0</v>
      </c>
      <c r="Q157" s="113">
        <v>0</v>
      </c>
      <c r="R157" s="3"/>
    </row>
    <row r="158" spans="1:18">
      <c r="A158" s="139" t="s">
        <v>494</v>
      </c>
      <c r="B158" s="139" t="s">
        <v>495</v>
      </c>
      <c r="C158" s="139" t="s">
        <v>156</v>
      </c>
      <c r="D158" s="139" t="s">
        <v>162</v>
      </c>
      <c r="E158" s="139" t="s">
        <v>100</v>
      </c>
      <c r="F158" s="102">
        <v>175364.27</v>
      </c>
      <c r="G158" s="101"/>
      <c r="H158" s="103">
        <f t="shared" si="2"/>
        <v>175364.27</v>
      </c>
      <c r="L158" s="271" t="s">
        <v>494</v>
      </c>
      <c r="M158" s="271" t="s">
        <v>495</v>
      </c>
      <c r="N158" s="272">
        <v>175364.27</v>
      </c>
      <c r="O158" s="111">
        <v>62468.44</v>
      </c>
      <c r="P158" s="111">
        <v>112895.83</v>
      </c>
      <c r="Q158" s="113">
        <v>0</v>
      </c>
      <c r="R158" s="3"/>
    </row>
    <row r="159" spans="1:18">
      <c r="A159" s="139" t="s">
        <v>496</v>
      </c>
      <c r="B159" s="139" t="s">
        <v>497</v>
      </c>
      <c r="C159" s="139" t="s">
        <v>156</v>
      </c>
      <c r="D159" s="139" t="s">
        <v>162</v>
      </c>
      <c r="E159" s="139" t="s">
        <v>100</v>
      </c>
      <c r="F159" s="102">
        <v>1145838.3600000001</v>
      </c>
      <c r="G159" s="101"/>
      <c r="H159" s="103">
        <f t="shared" si="2"/>
        <v>1145838.3600000001</v>
      </c>
      <c r="L159" s="271" t="s">
        <v>496</v>
      </c>
      <c r="M159" s="271" t="s">
        <v>497</v>
      </c>
      <c r="N159" s="272">
        <v>1145838.3600000001</v>
      </c>
      <c r="O159" s="111">
        <v>442144.41</v>
      </c>
      <c r="P159" s="111">
        <v>676980.5</v>
      </c>
      <c r="Q159" s="113">
        <v>26713.45</v>
      </c>
      <c r="R159" s="3"/>
    </row>
    <row r="160" spans="1:18">
      <c r="A160" s="139" t="s">
        <v>498</v>
      </c>
      <c r="B160" s="139" t="s">
        <v>499</v>
      </c>
      <c r="C160" s="139" t="s">
        <v>156</v>
      </c>
      <c r="D160" s="139" t="s">
        <v>162</v>
      </c>
      <c r="E160" s="139" t="s">
        <v>100</v>
      </c>
      <c r="F160" s="102">
        <v>-12383.12</v>
      </c>
      <c r="G160" s="101"/>
      <c r="H160" s="103">
        <f t="shared" si="2"/>
        <v>-12383.12</v>
      </c>
      <c r="L160" s="271" t="s">
        <v>498</v>
      </c>
      <c r="M160" s="271" t="s">
        <v>499</v>
      </c>
      <c r="N160" s="272">
        <v>-12383.12</v>
      </c>
      <c r="O160" s="111">
        <v>0</v>
      </c>
      <c r="P160" s="111">
        <v>-10025.6</v>
      </c>
      <c r="Q160" s="113">
        <v>-2357.52</v>
      </c>
      <c r="R160" s="3"/>
    </row>
    <row r="161" spans="1:18">
      <c r="A161" s="139" t="s">
        <v>500</v>
      </c>
      <c r="B161" s="139" t="s">
        <v>501</v>
      </c>
      <c r="C161" s="139" t="s">
        <v>156</v>
      </c>
      <c r="D161" s="139" t="s">
        <v>162</v>
      </c>
      <c r="E161" s="139" t="s">
        <v>100</v>
      </c>
      <c r="F161" s="102">
        <v>154366.17000000001</v>
      </c>
      <c r="G161" s="101"/>
      <c r="H161" s="103">
        <f t="shared" si="2"/>
        <v>154366.17000000001</v>
      </c>
      <c r="L161" s="271" t="s">
        <v>500</v>
      </c>
      <c r="M161" s="271" t="s">
        <v>501</v>
      </c>
      <c r="N161" s="272">
        <v>154366.17000000001</v>
      </c>
      <c r="O161" s="111">
        <v>0</v>
      </c>
      <c r="P161" s="111">
        <v>154366.17000000001</v>
      </c>
      <c r="Q161" s="272">
        <v>0</v>
      </c>
      <c r="R161" s="3"/>
    </row>
    <row r="162" spans="1:18">
      <c r="A162" s="139" t="s">
        <v>502</v>
      </c>
      <c r="B162" s="139" t="s">
        <v>503</v>
      </c>
      <c r="C162" s="139" t="s">
        <v>156</v>
      </c>
      <c r="D162" s="139" t="s">
        <v>169</v>
      </c>
      <c r="E162" s="139" t="s">
        <v>504</v>
      </c>
      <c r="F162" s="102">
        <v>2008795.95</v>
      </c>
      <c r="G162" s="101"/>
      <c r="H162" s="103"/>
      <c r="L162" s="271" t="s">
        <v>502</v>
      </c>
      <c r="M162" s="271" t="s">
        <v>503</v>
      </c>
      <c r="N162" s="272">
        <v>2008795.95</v>
      </c>
      <c r="O162" s="112"/>
      <c r="P162" s="112"/>
      <c r="Q162" s="272"/>
      <c r="R162" s="3"/>
    </row>
    <row r="163" spans="1:18">
      <c r="A163" s="139" t="s">
        <v>505</v>
      </c>
      <c r="B163" s="139" t="s">
        <v>284</v>
      </c>
      <c r="C163" s="139" t="s">
        <v>156</v>
      </c>
      <c r="D163" s="139" t="s">
        <v>157</v>
      </c>
      <c r="E163" s="139" t="s">
        <v>100</v>
      </c>
      <c r="F163" s="102">
        <v>0</v>
      </c>
      <c r="G163" s="101"/>
      <c r="H163" s="103"/>
      <c r="L163" s="271" t="s">
        <v>505</v>
      </c>
      <c r="M163" s="271" t="s">
        <v>284</v>
      </c>
      <c r="N163" s="272">
        <v>0</v>
      </c>
      <c r="O163" s="112"/>
      <c r="P163" s="112"/>
      <c r="Q163" s="272"/>
      <c r="R163" s="3"/>
    </row>
    <row r="164" spans="1:18">
      <c r="A164" s="139" t="s">
        <v>506</v>
      </c>
      <c r="B164" s="139" t="s">
        <v>507</v>
      </c>
      <c r="C164" s="139" t="s">
        <v>156</v>
      </c>
      <c r="D164" s="139" t="s">
        <v>162</v>
      </c>
      <c r="E164" s="139" t="s">
        <v>100</v>
      </c>
      <c r="F164" s="102">
        <v>2686865.23</v>
      </c>
      <c r="G164" s="101"/>
      <c r="H164" s="103">
        <f t="shared" si="2"/>
        <v>2686865.23</v>
      </c>
      <c r="I164" s="3">
        <f>+H164+H165+H166+H167+H168+H169+H170</f>
        <v>3050217.2899999996</v>
      </c>
      <c r="L164" s="271" t="s">
        <v>506</v>
      </c>
      <c r="M164" s="271" t="s">
        <v>507</v>
      </c>
      <c r="N164" s="272">
        <v>2686865.23</v>
      </c>
      <c r="O164" s="111">
        <v>704032.69</v>
      </c>
      <c r="P164" s="111">
        <v>1982832.54</v>
      </c>
      <c r="Q164" s="272">
        <v>0</v>
      </c>
      <c r="R164" s="3"/>
    </row>
    <row r="165" spans="1:18">
      <c r="A165" s="139" t="s">
        <v>508</v>
      </c>
      <c r="B165" s="139" t="s">
        <v>317</v>
      </c>
      <c r="C165" s="139" t="s">
        <v>156</v>
      </c>
      <c r="D165" s="139" t="s">
        <v>162</v>
      </c>
      <c r="E165" s="139" t="s">
        <v>100</v>
      </c>
      <c r="F165" s="102">
        <v>68581.899999999994</v>
      </c>
      <c r="G165" s="101"/>
      <c r="H165" s="103">
        <f t="shared" si="2"/>
        <v>68581.899999999994</v>
      </c>
      <c r="L165" s="271" t="s">
        <v>508</v>
      </c>
      <c r="M165" s="271" t="s">
        <v>317</v>
      </c>
      <c r="N165" s="272">
        <v>68581.899999999994</v>
      </c>
      <c r="O165" s="111">
        <v>9844.81</v>
      </c>
      <c r="P165" s="111">
        <v>58737.09</v>
      </c>
      <c r="Q165" s="272">
        <v>0</v>
      </c>
      <c r="R165" s="3"/>
    </row>
    <row r="166" spans="1:18">
      <c r="A166" s="139" t="s">
        <v>509</v>
      </c>
      <c r="B166" s="139" t="s">
        <v>294</v>
      </c>
      <c r="C166" s="139" t="s">
        <v>156</v>
      </c>
      <c r="D166" s="139" t="s">
        <v>162</v>
      </c>
      <c r="E166" s="139" t="s">
        <v>100</v>
      </c>
      <c r="F166" s="102">
        <v>-165767.24</v>
      </c>
      <c r="G166" s="101"/>
      <c r="H166" s="103">
        <f t="shared" si="2"/>
        <v>-165767.24</v>
      </c>
      <c r="L166" s="271" t="s">
        <v>509</v>
      </c>
      <c r="M166" s="271" t="s">
        <v>294</v>
      </c>
      <c r="N166" s="272">
        <v>-165767.24</v>
      </c>
      <c r="O166" s="111">
        <v>0</v>
      </c>
      <c r="P166" s="111">
        <v>-165767.24</v>
      </c>
      <c r="Q166" s="272">
        <v>0</v>
      </c>
      <c r="R166" s="3"/>
    </row>
    <row r="167" spans="1:18">
      <c r="A167" s="139" t="s">
        <v>510</v>
      </c>
      <c r="B167" s="139" t="s">
        <v>511</v>
      </c>
      <c r="C167" s="139" t="s">
        <v>156</v>
      </c>
      <c r="D167" s="139" t="s">
        <v>162</v>
      </c>
      <c r="E167" s="139" t="s">
        <v>100</v>
      </c>
      <c r="F167" s="102">
        <v>138713.29999999999</v>
      </c>
      <c r="G167" s="101"/>
      <c r="H167" s="103">
        <f t="shared" si="2"/>
        <v>138713.29999999999</v>
      </c>
      <c r="L167" s="271" t="s">
        <v>510</v>
      </c>
      <c r="M167" s="271" t="s">
        <v>511</v>
      </c>
      <c r="N167" s="272">
        <v>138713.29999999999</v>
      </c>
      <c r="O167" s="111">
        <v>24914.69</v>
      </c>
      <c r="P167" s="111">
        <v>113798.61</v>
      </c>
      <c r="Q167" s="272">
        <v>0</v>
      </c>
      <c r="R167" s="3"/>
    </row>
    <row r="168" spans="1:18">
      <c r="A168" s="139" t="s">
        <v>512</v>
      </c>
      <c r="B168" s="139" t="s">
        <v>513</v>
      </c>
      <c r="C168" s="139" t="s">
        <v>156</v>
      </c>
      <c r="D168" s="139" t="s">
        <v>162</v>
      </c>
      <c r="E168" s="139" t="s">
        <v>100</v>
      </c>
      <c r="F168" s="102">
        <v>288794.61</v>
      </c>
      <c r="G168" s="101"/>
      <c r="H168" s="103">
        <f t="shared" si="2"/>
        <v>288794.61</v>
      </c>
      <c r="L168" s="271" t="s">
        <v>512</v>
      </c>
      <c r="M168" s="271" t="s">
        <v>513</v>
      </c>
      <c r="N168" s="272">
        <v>288794.61</v>
      </c>
      <c r="O168" s="111">
        <v>66218.67</v>
      </c>
      <c r="P168" s="111">
        <v>222575.94</v>
      </c>
      <c r="Q168" s="272">
        <v>0</v>
      </c>
      <c r="R168" s="3"/>
    </row>
    <row r="169" spans="1:18">
      <c r="A169" s="139" t="s">
        <v>514</v>
      </c>
      <c r="B169" s="139" t="s">
        <v>515</v>
      </c>
      <c r="C169" s="139" t="s">
        <v>156</v>
      </c>
      <c r="D169" s="139" t="s">
        <v>162</v>
      </c>
      <c r="E169" s="139" t="s">
        <v>100</v>
      </c>
      <c r="F169" s="102">
        <v>-9406.4</v>
      </c>
      <c r="G169" s="101"/>
      <c r="H169" s="103">
        <f t="shared" si="2"/>
        <v>-9406.4</v>
      </c>
      <c r="L169" s="271" t="s">
        <v>514</v>
      </c>
      <c r="M169" s="271" t="s">
        <v>515</v>
      </c>
      <c r="N169" s="272">
        <v>-9406.4</v>
      </c>
      <c r="O169" s="111">
        <v>-6330.45</v>
      </c>
      <c r="P169" s="111">
        <v>-3075.95</v>
      </c>
      <c r="Q169" s="272">
        <v>0</v>
      </c>
      <c r="R169" s="3"/>
    </row>
    <row r="170" spans="1:18">
      <c r="A170" s="139" t="s">
        <v>2198</v>
      </c>
      <c r="B170" s="139" t="s">
        <v>300</v>
      </c>
      <c r="C170" s="139" t="s">
        <v>156</v>
      </c>
      <c r="D170" s="139" t="s">
        <v>162</v>
      </c>
      <c r="E170" s="139" t="s">
        <v>100</v>
      </c>
      <c r="F170" s="102">
        <v>42435.89</v>
      </c>
      <c r="G170" s="101"/>
      <c r="H170" s="103">
        <f t="shared" si="2"/>
        <v>42435.89</v>
      </c>
      <c r="L170" s="271" t="s">
        <v>2198</v>
      </c>
      <c r="M170" s="271" t="s">
        <v>300</v>
      </c>
      <c r="N170" s="272">
        <v>42435.89</v>
      </c>
      <c r="O170" s="111">
        <v>2609.38</v>
      </c>
      <c r="P170" s="111">
        <v>39826.51</v>
      </c>
      <c r="Q170" s="272">
        <v>0</v>
      </c>
      <c r="R170" s="3"/>
    </row>
    <row r="171" spans="1:18">
      <c r="A171" s="139" t="s">
        <v>516</v>
      </c>
      <c r="B171" s="139" t="s">
        <v>306</v>
      </c>
      <c r="C171" s="139" t="s">
        <v>156</v>
      </c>
      <c r="D171" s="139" t="s">
        <v>162</v>
      </c>
      <c r="E171" s="139" t="s">
        <v>100</v>
      </c>
      <c r="F171" s="102">
        <v>58749.71</v>
      </c>
      <c r="G171" s="101"/>
      <c r="H171" s="103">
        <f t="shared" si="2"/>
        <v>58749.71</v>
      </c>
      <c r="L171" s="271" t="s">
        <v>516</v>
      </c>
      <c r="M171" s="271" t="s">
        <v>306</v>
      </c>
      <c r="N171" s="272">
        <v>58749.71</v>
      </c>
      <c r="O171" s="111">
        <v>27506.53</v>
      </c>
      <c r="P171" s="111">
        <v>31243.18</v>
      </c>
      <c r="Q171" s="272">
        <v>0</v>
      </c>
      <c r="R171" s="3"/>
    </row>
    <row r="172" spans="1:18">
      <c r="A172" s="139" t="s">
        <v>518</v>
      </c>
      <c r="B172" s="139" t="s">
        <v>519</v>
      </c>
      <c r="C172" s="139" t="s">
        <v>156</v>
      </c>
      <c r="D172" s="139" t="s">
        <v>162</v>
      </c>
      <c r="E172" s="139" t="s">
        <v>100</v>
      </c>
      <c r="F172" s="102">
        <v>193295.13</v>
      </c>
      <c r="G172" s="101"/>
      <c r="H172" s="103">
        <f t="shared" si="2"/>
        <v>193295.13</v>
      </c>
      <c r="L172" s="271" t="s">
        <v>518</v>
      </c>
      <c r="M172" s="271" t="s">
        <v>519</v>
      </c>
      <c r="N172" s="272">
        <v>193295.13</v>
      </c>
      <c r="O172" s="111">
        <v>21367</v>
      </c>
      <c r="P172" s="111">
        <v>171928.13</v>
      </c>
      <c r="Q172" s="272">
        <v>0</v>
      </c>
      <c r="R172" s="3"/>
    </row>
    <row r="173" spans="1:18">
      <c r="A173" s="139" t="s">
        <v>520</v>
      </c>
      <c r="B173" s="139" t="s">
        <v>521</v>
      </c>
      <c r="C173" s="139" t="s">
        <v>156</v>
      </c>
      <c r="D173" s="139" t="s">
        <v>162</v>
      </c>
      <c r="E173" s="139" t="s">
        <v>100</v>
      </c>
      <c r="F173" s="102">
        <v>4233.3</v>
      </c>
      <c r="G173" s="101"/>
      <c r="H173" s="103">
        <f t="shared" si="2"/>
        <v>4233.3</v>
      </c>
      <c r="L173" s="271" t="s">
        <v>520</v>
      </c>
      <c r="M173" s="271" t="s">
        <v>521</v>
      </c>
      <c r="N173" s="272">
        <v>4233.3</v>
      </c>
      <c r="O173" s="111">
        <v>2472.37</v>
      </c>
      <c r="P173" s="111">
        <v>1760.93</v>
      </c>
      <c r="Q173" s="272">
        <v>0</v>
      </c>
      <c r="R173" s="3"/>
    </row>
    <row r="174" spans="1:18">
      <c r="A174" s="139" t="s">
        <v>522</v>
      </c>
      <c r="B174" s="139" t="s">
        <v>216</v>
      </c>
      <c r="C174" s="139" t="s">
        <v>156</v>
      </c>
      <c r="D174" s="139" t="s">
        <v>162</v>
      </c>
      <c r="E174" s="139" t="s">
        <v>100</v>
      </c>
      <c r="F174" s="102">
        <v>0</v>
      </c>
      <c r="G174" s="101"/>
      <c r="H174" s="103">
        <f t="shared" si="2"/>
        <v>0</v>
      </c>
      <c r="L174" s="271" t="s">
        <v>522</v>
      </c>
      <c r="M174" s="271" t="s">
        <v>216</v>
      </c>
      <c r="N174" s="272">
        <v>0</v>
      </c>
      <c r="O174" s="111">
        <v>0</v>
      </c>
      <c r="P174" s="111">
        <v>0</v>
      </c>
      <c r="Q174" s="272">
        <v>0</v>
      </c>
      <c r="R174" s="3"/>
    </row>
    <row r="175" spans="1:18">
      <c r="A175" s="139" t="s">
        <v>523</v>
      </c>
      <c r="B175" s="139" t="s">
        <v>524</v>
      </c>
      <c r="C175" s="139" t="s">
        <v>156</v>
      </c>
      <c r="D175" s="139" t="s">
        <v>162</v>
      </c>
      <c r="E175" s="139" t="s">
        <v>100</v>
      </c>
      <c r="F175" s="102">
        <v>-15300</v>
      </c>
      <c r="G175" s="101"/>
      <c r="H175" s="103">
        <f t="shared" si="2"/>
        <v>-15300</v>
      </c>
      <c r="L175" s="271" t="s">
        <v>523</v>
      </c>
      <c r="M175" s="271" t="s">
        <v>524</v>
      </c>
      <c r="N175" s="272">
        <v>-15300</v>
      </c>
      <c r="O175" s="111">
        <v>-2700</v>
      </c>
      <c r="P175" s="111">
        <v>-12600</v>
      </c>
      <c r="Q175" s="272">
        <v>0</v>
      </c>
      <c r="R175" s="3"/>
    </row>
    <row r="176" spans="1:18">
      <c r="A176" s="139" t="s">
        <v>525</v>
      </c>
      <c r="B176" s="139" t="s">
        <v>526</v>
      </c>
      <c r="C176" s="139" t="s">
        <v>156</v>
      </c>
      <c r="D176" s="139" t="s">
        <v>162</v>
      </c>
      <c r="E176" s="139" t="s">
        <v>100</v>
      </c>
      <c r="F176" s="102">
        <v>-87160</v>
      </c>
      <c r="G176" s="101"/>
      <c r="H176" s="103">
        <f t="shared" si="2"/>
        <v>-87160</v>
      </c>
      <c r="L176" s="271" t="s">
        <v>525</v>
      </c>
      <c r="M176" s="271" t="s">
        <v>526</v>
      </c>
      <c r="N176" s="272">
        <v>-87160</v>
      </c>
      <c r="O176" s="111">
        <v>-9585</v>
      </c>
      <c r="P176" s="111">
        <v>-77575</v>
      </c>
      <c r="Q176" s="272">
        <v>0</v>
      </c>
      <c r="R176" s="3"/>
    </row>
    <row r="177" spans="1:18">
      <c r="A177" s="139" t="s">
        <v>527</v>
      </c>
      <c r="B177" s="139" t="s">
        <v>341</v>
      </c>
      <c r="C177" s="139" t="s">
        <v>156</v>
      </c>
      <c r="D177" s="139" t="s">
        <v>169</v>
      </c>
      <c r="E177" s="139" t="s">
        <v>528</v>
      </c>
      <c r="F177" s="102">
        <v>3204035.43</v>
      </c>
      <c r="G177" s="101"/>
      <c r="H177" s="103"/>
      <c r="I177" s="3">
        <f>+F177+I202</f>
        <v>3401970.71</v>
      </c>
      <c r="L177" s="271" t="s">
        <v>527</v>
      </c>
      <c r="M177" s="271" t="s">
        <v>341</v>
      </c>
      <c r="N177" s="272">
        <v>3204035.43</v>
      </c>
      <c r="O177" s="112"/>
      <c r="P177" s="112">
        <v>2363684.7400000002</v>
      </c>
      <c r="Q177" s="272"/>
      <c r="R177" s="3"/>
    </row>
    <row r="178" spans="1:18">
      <c r="A178" s="139" t="s">
        <v>529</v>
      </c>
      <c r="B178" s="139" t="s">
        <v>530</v>
      </c>
      <c r="C178" s="139" t="s">
        <v>156</v>
      </c>
      <c r="D178" s="139" t="s">
        <v>157</v>
      </c>
      <c r="E178" s="139" t="s">
        <v>100</v>
      </c>
      <c r="F178" s="102">
        <v>0</v>
      </c>
      <c r="G178" s="101"/>
      <c r="H178" s="103"/>
      <c r="L178" s="271" t="s">
        <v>529</v>
      </c>
      <c r="M178" s="271" t="s">
        <v>530</v>
      </c>
      <c r="N178" s="272">
        <v>0</v>
      </c>
      <c r="O178" s="112"/>
      <c r="P178" s="112">
        <v>0</v>
      </c>
      <c r="Q178" s="272"/>
      <c r="R178" s="3"/>
    </row>
    <row r="179" spans="1:18">
      <c r="A179" s="139" t="s">
        <v>531</v>
      </c>
      <c r="B179" s="139" t="s">
        <v>532</v>
      </c>
      <c r="C179" s="139" t="s">
        <v>156</v>
      </c>
      <c r="D179" s="139" t="s">
        <v>162</v>
      </c>
      <c r="E179" s="139" t="s">
        <v>100</v>
      </c>
      <c r="F179" s="102">
        <v>4067.36</v>
      </c>
      <c r="G179" s="101"/>
      <c r="H179" s="103">
        <f t="shared" si="2"/>
        <v>4067.36</v>
      </c>
      <c r="L179" s="271" t="s">
        <v>531</v>
      </c>
      <c r="M179" s="271" t="s">
        <v>532</v>
      </c>
      <c r="N179" s="272">
        <v>4067.36</v>
      </c>
      <c r="O179" s="111">
        <v>0</v>
      </c>
      <c r="P179" s="111">
        <v>4067.36</v>
      </c>
      <c r="Q179" s="272">
        <v>0</v>
      </c>
      <c r="R179" s="3"/>
    </row>
    <row r="180" spans="1:18">
      <c r="A180" s="139" t="s">
        <v>533</v>
      </c>
      <c r="B180" s="139" t="s">
        <v>2164</v>
      </c>
      <c r="C180" s="139" t="s">
        <v>156</v>
      </c>
      <c r="D180" s="139" t="s">
        <v>162</v>
      </c>
      <c r="E180" s="139" t="s">
        <v>100</v>
      </c>
      <c r="F180" s="102">
        <v>13165.29</v>
      </c>
      <c r="G180" s="101"/>
      <c r="H180" s="103">
        <f t="shared" si="2"/>
        <v>13165.29</v>
      </c>
      <c r="L180" s="271" t="s">
        <v>533</v>
      </c>
      <c r="M180" s="271" t="s">
        <v>2164</v>
      </c>
      <c r="N180" s="272">
        <v>13165.29</v>
      </c>
      <c r="O180" s="111">
        <v>75.81</v>
      </c>
      <c r="P180" s="111">
        <v>13089.48</v>
      </c>
      <c r="Q180" s="272">
        <v>0</v>
      </c>
      <c r="R180" s="3"/>
    </row>
    <row r="181" spans="1:18">
      <c r="A181" s="139" t="s">
        <v>535</v>
      </c>
      <c r="B181" s="139" t="s">
        <v>536</v>
      </c>
      <c r="C181" s="139" t="s">
        <v>156</v>
      </c>
      <c r="D181" s="139" t="s">
        <v>162</v>
      </c>
      <c r="E181" s="139" t="s">
        <v>100</v>
      </c>
      <c r="F181" s="102">
        <v>49440.08</v>
      </c>
      <c r="G181" s="101"/>
      <c r="H181" s="103">
        <f t="shared" si="2"/>
        <v>49440.08</v>
      </c>
      <c r="L181" s="271" t="s">
        <v>535</v>
      </c>
      <c r="M181" s="271" t="s">
        <v>536</v>
      </c>
      <c r="N181" s="272">
        <v>49440.08</v>
      </c>
      <c r="O181" s="111">
        <v>0</v>
      </c>
      <c r="P181" s="111">
        <v>49440.08</v>
      </c>
      <c r="Q181" s="272">
        <v>0</v>
      </c>
      <c r="R181" s="3"/>
    </row>
    <row r="182" spans="1:18">
      <c r="A182" s="139" t="s">
        <v>537</v>
      </c>
      <c r="B182" s="139" t="s">
        <v>538</v>
      </c>
      <c r="C182" s="139" t="s">
        <v>156</v>
      </c>
      <c r="D182" s="139" t="s">
        <v>162</v>
      </c>
      <c r="E182" s="139" t="s">
        <v>100</v>
      </c>
      <c r="F182" s="102">
        <v>24773.49</v>
      </c>
      <c r="G182" s="101"/>
      <c r="H182" s="103">
        <f t="shared" si="2"/>
        <v>24773.49</v>
      </c>
      <c r="L182" s="271" t="s">
        <v>537</v>
      </c>
      <c r="M182" s="271" t="s">
        <v>538</v>
      </c>
      <c r="N182" s="272">
        <v>24773.49</v>
      </c>
      <c r="O182" s="111">
        <v>0</v>
      </c>
      <c r="P182" s="111">
        <v>17956.939999999999</v>
      </c>
      <c r="Q182" s="113">
        <v>6816.55</v>
      </c>
      <c r="R182" s="3"/>
    </row>
    <row r="183" spans="1:18">
      <c r="A183" s="139" t="s">
        <v>539</v>
      </c>
      <c r="B183" s="139" t="s">
        <v>540</v>
      </c>
      <c r="C183" s="139" t="s">
        <v>156</v>
      </c>
      <c r="D183" s="139" t="s">
        <v>162</v>
      </c>
      <c r="E183" s="139" t="s">
        <v>100</v>
      </c>
      <c r="F183" s="102">
        <v>279526.74</v>
      </c>
      <c r="G183" s="101"/>
      <c r="H183" s="103">
        <f t="shared" si="2"/>
        <v>279526.74</v>
      </c>
      <c r="L183" s="271" t="s">
        <v>539</v>
      </c>
      <c r="M183" s="271" t="s">
        <v>540</v>
      </c>
      <c r="N183" s="272">
        <v>279526.74</v>
      </c>
      <c r="O183" s="111">
        <v>82155.41</v>
      </c>
      <c r="P183" s="111">
        <v>163741.49</v>
      </c>
      <c r="Q183" s="113">
        <v>33629.839999999997</v>
      </c>
      <c r="R183" s="3"/>
    </row>
    <row r="184" spans="1:18">
      <c r="A184" s="139" t="s">
        <v>541</v>
      </c>
      <c r="B184" s="139" t="s">
        <v>542</v>
      </c>
      <c r="C184" s="139" t="s">
        <v>156</v>
      </c>
      <c r="D184" s="139" t="s">
        <v>162</v>
      </c>
      <c r="E184" s="139" t="s">
        <v>100</v>
      </c>
      <c r="F184" s="102">
        <v>10292.5</v>
      </c>
      <c r="G184" s="101"/>
      <c r="H184" s="103">
        <f t="shared" si="2"/>
        <v>10292.5</v>
      </c>
      <c r="L184" s="271" t="s">
        <v>541</v>
      </c>
      <c r="M184" s="271" t="s">
        <v>542</v>
      </c>
      <c r="N184" s="272">
        <v>10292.5</v>
      </c>
      <c r="O184" s="111">
        <v>2442.5</v>
      </c>
      <c r="P184" s="111">
        <v>7850</v>
      </c>
      <c r="Q184" s="272">
        <v>0</v>
      </c>
      <c r="R184" s="3"/>
    </row>
    <row r="185" spans="1:18">
      <c r="A185" s="139" t="s">
        <v>543</v>
      </c>
      <c r="B185" s="139" t="s">
        <v>220</v>
      </c>
      <c r="C185" s="139" t="s">
        <v>156</v>
      </c>
      <c r="D185" s="139" t="s">
        <v>162</v>
      </c>
      <c r="E185" s="139" t="s">
        <v>100</v>
      </c>
      <c r="F185" s="102">
        <v>16892.400000000001</v>
      </c>
      <c r="G185" s="101">
        <v>429.02</v>
      </c>
      <c r="H185" s="103">
        <f t="shared" si="2"/>
        <v>17321.420000000002</v>
      </c>
      <c r="L185" s="271" t="s">
        <v>543</v>
      </c>
      <c r="M185" s="271" t="s">
        <v>220</v>
      </c>
      <c r="N185" s="272">
        <v>16892.400000000001</v>
      </c>
      <c r="O185" s="112">
        <v>2118.1799999999998</v>
      </c>
      <c r="P185" s="111">
        <v>14774.22</v>
      </c>
      <c r="Q185" s="272">
        <v>0</v>
      </c>
      <c r="R185" s="3"/>
    </row>
    <row r="186" spans="1:18">
      <c r="A186" s="139" t="s">
        <v>547</v>
      </c>
      <c r="B186" s="139" t="s">
        <v>548</v>
      </c>
      <c r="C186" s="139" t="s">
        <v>156</v>
      </c>
      <c r="D186" s="139" t="s">
        <v>169</v>
      </c>
      <c r="E186" s="139" t="s">
        <v>549</v>
      </c>
      <c r="F186" s="102">
        <v>398157.86</v>
      </c>
      <c r="G186" s="101"/>
      <c r="H186" s="103"/>
      <c r="L186" s="271" t="s">
        <v>547</v>
      </c>
      <c r="M186" s="271" t="s">
        <v>548</v>
      </c>
      <c r="N186" s="272">
        <v>398157.86</v>
      </c>
      <c r="O186" s="112"/>
      <c r="P186" s="112">
        <v>270919.57</v>
      </c>
      <c r="Q186" s="272"/>
      <c r="R186" s="3"/>
    </row>
    <row r="187" spans="1:18">
      <c r="A187" s="139" t="s">
        <v>550</v>
      </c>
      <c r="B187" s="139" t="s">
        <v>551</v>
      </c>
      <c r="C187" s="139" t="s">
        <v>156</v>
      </c>
      <c r="D187" s="139" t="s">
        <v>157</v>
      </c>
      <c r="E187" s="139" t="s">
        <v>100</v>
      </c>
      <c r="F187" s="102">
        <v>0</v>
      </c>
      <c r="G187" s="101"/>
      <c r="H187" s="103"/>
      <c r="L187" s="271" t="s">
        <v>550</v>
      </c>
      <c r="M187" s="271" t="s">
        <v>551</v>
      </c>
      <c r="N187" s="272">
        <v>0</v>
      </c>
      <c r="O187" s="112"/>
      <c r="P187" s="112">
        <v>0</v>
      </c>
      <c r="Q187" s="272"/>
      <c r="R187" s="3"/>
    </row>
    <row r="188" spans="1:18">
      <c r="A188" s="139" t="s">
        <v>552</v>
      </c>
      <c r="B188" s="139" t="s">
        <v>553</v>
      </c>
      <c r="C188" s="139" t="s">
        <v>156</v>
      </c>
      <c r="D188" s="139" t="s">
        <v>162</v>
      </c>
      <c r="E188" s="139" t="s">
        <v>100</v>
      </c>
      <c r="F188" s="102">
        <v>0</v>
      </c>
      <c r="G188" s="101"/>
      <c r="H188" s="103">
        <f t="shared" si="2"/>
        <v>0</v>
      </c>
      <c r="L188" s="271" t="s">
        <v>552</v>
      </c>
      <c r="M188" s="271" t="s">
        <v>553</v>
      </c>
      <c r="N188" s="272">
        <v>0</v>
      </c>
      <c r="O188" s="112">
        <v>0</v>
      </c>
      <c r="P188" s="112">
        <v>0</v>
      </c>
      <c r="Q188" s="272">
        <v>0</v>
      </c>
      <c r="R188" s="3"/>
    </row>
    <row r="189" spans="1:18">
      <c r="A189" s="139" t="s">
        <v>554</v>
      </c>
      <c r="B189" s="139" t="s">
        <v>555</v>
      </c>
      <c r="C189" s="139" t="s">
        <v>156</v>
      </c>
      <c r="D189" s="139" t="s">
        <v>162</v>
      </c>
      <c r="E189" s="139" t="s">
        <v>100</v>
      </c>
      <c r="F189" s="102">
        <v>119372.06</v>
      </c>
      <c r="G189" s="101"/>
      <c r="H189" s="103">
        <f t="shared" si="2"/>
        <v>119372.06</v>
      </c>
      <c r="L189" s="271" t="s">
        <v>554</v>
      </c>
      <c r="M189" s="271" t="s">
        <v>555</v>
      </c>
      <c r="N189" s="272">
        <v>119372.06</v>
      </c>
      <c r="O189" s="111">
        <v>69272.91</v>
      </c>
      <c r="P189" s="111">
        <v>50099.15</v>
      </c>
      <c r="Q189" s="272">
        <v>0</v>
      </c>
      <c r="R189" s="3"/>
    </row>
    <row r="190" spans="1:18">
      <c r="A190" s="139" t="s">
        <v>556</v>
      </c>
      <c r="B190" s="139" t="s">
        <v>557</v>
      </c>
      <c r="C190" s="139" t="s">
        <v>156</v>
      </c>
      <c r="D190" s="139" t="s">
        <v>162</v>
      </c>
      <c r="E190" s="139" t="s">
        <v>100</v>
      </c>
      <c r="F190" s="102">
        <v>1129215.96</v>
      </c>
      <c r="G190" s="101"/>
      <c r="H190" s="103">
        <f t="shared" si="2"/>
        <v>1129215.96</v>
      </c>
      <c r="L190" s="271" t="s">
        <v>556</v>
      </c>
      <c r="M190" s="271" t="s">
        <v>557</v>
      </c>
      <c r="N190" s="272">
        <v>1129215.96</v>
      </c>
      <c r="O190" s="111">
        <v>433768.98</v>
      </c>
      <c r="P190" s="111">
        <v>686821.98</v>
      </c>
      <c r="Q190" s="113">
        <v>8625</v>
      </c>
      <c r="R190" s="3"/>
    </row>
    <row r="191" spans="1:18">
      <c r="A191" s="139" t="s">
        <v>558</v>
      </c>
      <c r="B191" s="139" t="s">
        <v>559</v>
      </c>
      <c r="C191" s="139" t="s">
        <v>156</v>
      </c>
      <c r="D191" s="139" t="s">
        <v>162</v>
      </c>
      <c r="E191" s="139" t="s">
        <v>100</v>
      </c>
      <c r="F191" s="102">
        <v>88311.73</v>
      </c>
      <c r="G191" s="101"/>
      <c r="H191" s="103">
        <f t="shared" si="2"/>
        <v>88311.73</v>
      </c>
      <c r="L191" s="271" t="s">
        <v>558</v>
      </c>
      <c r="M191" s="271" t="s">
        <v>559</v>
      </c>
      <c r="N191" s="272">
        <v>88311.73</v>
      </c>
      <c r="O191" s="111">
        <v>45354.400000000001</v>
      </c>
      <c r="P191" s="111">
        <v>42957.33</v>
      </c>
      <c r="Q191" s="272">
        <v>0</v>
      </c>
      <c r="R191" s="3"/>
    </row>
    <row r="192" spans="1:18">
      <c r="A192" s="139" t="s">
        <v>560</v>
      </c>
      <c r="B192" s="139" t="s">
        <v>561</v>
      </c>
      <c r="C192" s="139" t="s">
        <v>156</v>
      </c>
      <c r="D192" s="139" t="s">
        <v>162</v>
      </c>
      <c r="E192" s="139" t="s">
        <v>100</v>
      </c>
      <c r="F192" s="102">
        <v>285015.49</v>
      </c>
      <c r="G192" s="101"/>
      <c r="H192" s="103">
        <f t="shared" si="2"/>
        <v>285015.49</v>
      </c>
      <c r="L192" s="271" t="s">
        <v>560</v>
      </c>
      <c r="M192" s="271" t="s">
        <v>561</v>
      </c>
      <c r="N192" s="272">
        <v>285015.49</v>
      </c>
      <c r="O192" s="111">
        <v>160061.94</v>
      </c>
      <c r="P192" s="111">
        <v>124953.55</v>
      </c>
      <c r="Q192" s="272">
        <v>0</v>
      </c>
      <c r="R192" s="3"/>
    </row>
    <row r="193" spans="1:18">
      <c r="A193" s="139" t="s">
        <v>562</v>
      </c>
      <c r="B193" s="139" t="s">
        <v>563</v>
      </c>
      <c r="C193" s="139" t="s">
        <v>156</v>
      </c>
      <c r="D193" s="139" t="s">
        <v>162</v>
      </c>
      <c r="E193" s="139" t="s">
        <v>100</v>
      </c>
      <c r="F193" s="102">
        <v>199436.7</v>
      </c>
      <c r="G193" s="101">
        <v>-429.02</v>
      </c>
      <c r="H193" s="103">
        <f t="shared" si="2"/>
        <v>199007.68000000002</v>
      </c>
      <c r="L193" s="271" t="s">
        <v>562</v>
      </c>
      <c r="M193" s="271" t="s">
        <v>563</v>
      </c>
      <c r="N193" s="272">
        <v>199436.7</v>
      </c>
      <c r="O193" s="111">
        <v>529.02</v>
      </c>
      <c r="P193" s="111">
        <v>198907.68</v>
      </c>
      <c r="Q193" s="272">
        <v>0</v>
      </c>
      <c r="R193" s="3"/>
    </row>
    <row r="194" spans="1:18">
      <c r="A194" s="139" t="s">
        <v>564</v>
      </c>
      <c r="B194" s="139" t="s">
        <v>565</v>
      </c>
      <c r="C194" s="139" t="s">
        <v>156</v>
      </c>
      <c r="D194" s="139" t="s">
        <v>162</v>
      </c>
      <c r="E194" s="139" t="s">
        <v>100</v>
      </c>
      <c r="F194" s="102">
        <v>0</v>
      </c>
      <c r="G194" s="101"/>
      <c r="H194" s="103">
        <f t="shared" si="2"/>
        <v>0</v>
      </c>
      <c r="L194" s="271" t="s">
        <v>564</v>
      </c>
      <c r="M194" s="271" t="s">
        <v>565</v>
      </c>
      <c r="N194" s="272">
        <v>0</v>
      </c>
      <c r="O194" s="112">
        <v>0</v>
      </c>
      <c r="P194" s="111">
        <v>0</v>
      </c>
      <c r="Q194" s="272">
        <v>0</v>
      </c>
      <c r="R194" s="3"/>
    </row>
    <row r="195" spans="1:18">
      <c r="A195" s="139" t="s">
        <v>566</v>
      </c>
      <c r="B195" s="139" t="s">
        <v>567</v>
      </c>
      <c r="C195" s="139" t="s">
        <v>156</v>
      </c>
      <c r="D195" s="139" t="s">
        <v>169</v>
      </c>
      <c r="E195" s="139" t="s">
        <v>568</v>
      </c>
      <c r="F195" s="102">
        <v>1821351.94</v>
      </c>
      <c r="G195" s="101"/>
      <c r="H195" s="103"/>
      <c r="L195" s="271" t="s">
        <v>566</v>
      </c>
      <c r="M195" s="271" t="s">
        <v>567</v>
      </c>
      <c r="N195" s="272">
        <v>1821351.94</v>
      </c>
      <c r="O195" s="112"/>
      <c r="P195" s="112">
        <v>1103739.69</v>
      </c>
      <c r="Q195" s="272"/>
      <c r="R195" s="3"/>
    </row>
    <row r="196" spans="1:18">
      <c r="A196" s="139" t="s">
        <v>569</v>
      </c>
      <c r="B196" s="139" t="s">
        <v>570</v>
      </c>
      <c r="C196" s="139" t="s">
        <v>156</v>
      </c>
      <c r="D196" s="139" t="s">
        <v>157</v>
      </c>
      <c r="E196" s="139" t="s">
        <v>100</v>
      </c>
      <c r="F196" s="102">
        <v>0</v>
      </c>
      <c r="G196" s="101"/>
      <c r="H196" s="103"/>
      <c r="L196" s="271" t="s">
        <v>569</v>
      </c>
      <c r="M196" s="271" t="s">
        <v>570</v>
      </c>
      <c r="N196" s="272">
        <v>0</v>
      </c>
      <c r="O196" s="112"/>
      <c r="P196" s="112">
        <v>0</v>
      </c>
      <c r="Q196" s="272"/>
      <c r="R196" s="3"/>
    </row>
    <row r="197" spans="1:18">
      <c r="A197" s="139" t="s">
        <v>571</v>
      </c>
      <c r="B197" s="139" t="s">
        <v>572</v>
      </c>
      <c r="C197" s="139" t="s">
        <v>156</v>
      </c>
      <c r="D197" s="139" t="s">
        <v>162</v>
      </c>
      <c r="E197" s="139" t="s">
        <v>100</v>
      </c>
      <c r="F197" s="102">
        <v>9712.7800000000007</v>
      </c>
      <c r="G197" s="101"/>
      <c r="H197" s="103">
        <f t="shared" si="2"/>
        <v>9712.7800000000007</v>
      </c>
      <c r="L197" s="271" t="s">
        <v>571</v>
      </c>
      <c r="M197" s="271" t="s">
        <v>572</v>
      </c>
      <c r="N197" s="272">
        <v>9712.7800000000007</v>
      </c>
      <c r="O197" s="111">
        <v>0</v>
      </c>
      <c r="P197" s="111">
        <v>9712.7800000000007</v>
      </c>
      <c r="Q197" s="272">
        <v>0</v>
      </c>
      <c r="R197" s="3"/>
    </row>
    <row r="198" spans="1:18">
      <c r="A198" s="139" t="s">
        <v>573</v>
      </c>
      <c r="B198" s="139" t="s">
        <v>574</v>
      </c>
      <c r="C198" s="139" t="s">
        <v>156</v>
      </c>
      <c r="D198" s="139" t="s">
        <v>162</v>
      </c>
      <c r="E198" s="139" t="s">
        <v>100</v>
      </c>
      <c r="F198" s="102">
        <v>9000</v>
      </c>
      <c r="G198" s="101"/>
      <c r="H198" s="103">
        <f t="shared" ref="H198:H261" si="3">SUM(F198:G198)</f>
        <v>9000</v>
      </c>
      <c r="L198" s="271" t="s">
        <v>573</v>
      </c>
      <c r="M198" s="271" t="s">
        <v>574</v>
      </c>
      <c r="N198" s="272">
        <v>9000</v>
      </c>
      <c r="O198" s="111">
        <v>9000</v>
      </c>
      <c r="P198" s="111">
        <v>0</v>
      </c>
      <c r="Q198" s="272">
        <v>0</v>
      </c>
      <c r="R198" s="3"/>
    </row>
    <row r="199" spans="1:18">
      <c r="A199" s="139" t="s">
        <v>575</v>
      </c>
      <c r="B199" s="139" t="s">
        <v>576</v>
      </c>
      <c r="C199" s="139" t="s">
        <v>156</v>
      </c>
      <c r="D199" s="139" t="s">
        <v>169</v>
      </c>
      <c r="E199" s="139" t="s">
        <v>577</v>
      </c>
      <c r="F199" s="102">
        <v>18712.78</v>
      </c>
      <c r="G199" s="101"/>
      <c r="H199" s="103"/>
      <c r="L199" s="271" t="s">
        <v>575</v>
      </c>
      <c r="M199" s="271" t="s">
        <v>576</v>
      </c>
      <c r="N199" s="272">
        <v>18712.78</v>
      </c>
      <c r="O199" s="112"/>
      <c r="P199" s="112">
        <v>9712.7800000000007</v>
      </c>
      <c r="Q199" s="272">
        <v>0</v>
      </c>
      <c r="R199" s="3"/>
    </row>
    <row r="200" spans="1:18">
      <c r="A200" s="139" t="s">
        <v>578</v>
      </c>
      <c r="B200" s="139" t="s">
        <v>579</v>
      </c>
      <c r="C200" s="139" t="s">
        <v>156</v>
      </c>
      <c r="D200" s="139" t="s">
        <v>157</v>
      </c>
      <c r="E200" s="139" t="s">
        <v>100</v>
      </c>
      <c r="F200" s="102">
        <v>0</v>
      </c>
      <c r="G200" s="101"/>
      <c r="H200" s="103"/>
      <c r="L200" s="271" t="s">
        <v>578</v>
      </c>
      <c r="M200" s="271" t="s">
        <v>579</v>
      </c>
      <c r="N200" s="272">
        <v>0</v>
      </c>
      <c r="O200" s="112"/>
      <c r="P200" s="112">
        <v>0</v>
      </c>
      <c r="Q200" s="272">
        <v>0</v>
      </c>
      <c r="R200" s="3"/>
    </row>
    <row r="201" spans="1:18">
      <c r="A201" s="139" t="s">
        <v>580</v>
      </c>
      <c r="B201" s="139" t="s">
        <v>581</v>
      </c>
      <c r="C201" s="139" t="s">
        <v>156</v>
      </c>
      <c r="D201" s="139" t="s">
        <v>162</v>
      </c>
      <c r="E201" s="139" t="s">
        <v>100</v>
      </c>
      <c r="F201" s="102">
        <v>-4239.07</v>
      </c>
      <c r="G201" s="101"/>
      <c r="H201" s="103">
        <f t="shared" si="3"/>
        <v>-4239.07</v>
      </c>
      <c r="L201" s="271" t="s">
        <v>580</v>
      </c>
      <c r="M201" s="271" t="s">
        <v>581</v>
      </c>
      <c r="N201" s="272">
        <v>-4239.07</v>
      </c>
      <c r="O201" s="111">
        <v>-4239.07</v>
      </c>
      <c r="P201" s="112">
        <v>0</v>
      </c>
      <c r="Q201" s="272">
        <v>0</v>
      </c>
      <c r="R201" s="3"/>
    </row>
    <row r="202" spans="1:18">
      <c r="A202" s="139" t="s">
        <v>582</v>
      </c>
      <c r="B202" s="139" t="s">
        <v>583</v>
      </c>
      <c r="C202" s="139" t="s">
        <v>156</v>
      </c>
      <c r="D202" s="139" t="s">
        <v>162</v>
      </c>
      <c r="E202" s="139" t="s">
        <v>100</v>
      </c>
      <c r="F202" s="102">
        <v>227705.4</v>
      </c>
      <c r="G202" s="101"/>
      <c r="H202" s="103">
        <f t="shared" si="3"/>
        <v>227705.4</v>
      </c>
      <c r="I202" s="3">
        <f>+H202+H203</f>
        <v>197935.28</v>
      </c>
      <c r="L202" s="271" t="s">
        <v>582</v>
      </c>
      <c r="M202" s="271" t="s">
        <v>583</v>
      </c>
      <c r="N202" s="272">
        <v>227705.4</v>
      </c>
      <c r="O202" s="111">
        <v>227705.4</v>
      </c>
      <c r="P202" s="112">
        <v>0</v>
      </c>
      <c r="Q202" s="272">
        <v>0</v>
      </c>
      <c r="R202" s="3"/>
    </row>
    <row r="203" spans="1:18">
      <c r="A203" s="139" t="s">
        <v>584</v>
      </c>
      <c r="B203" s="139" t="s">
        <v>2199</v>
      </c>
      <c r="C203" s="139" t="s">
        <v>156</v>
      </c>
      <c r="D203" s="139" t="s">
        <v>162</v>
      </c>
      <c r="E203" s="139" t="s">
        <v>100</v>
      </c>
      <c r="F203" s="102">
        <v>-29770.12</v>
      </c>
      <c r="G203" s="101"/>
      <c r="H203" s="103">
        <f t="shared" si="3"/>
        <v>-29770.12</v>
      </c>
      <c r="L203" s="271" t="s">
        <v>584</v>
      </c>
      <c r="M203" s="271" t="s">
        <v>2199</v>
      </c>
      <c r="N203" s="272">
        <v>-29770.12</v>
      </c>
      <c r="O203" s="111">
        <v>-29770.12</v>
      </c>
      <c r="P203" s="112">
        <v>0</v>
      </c>
      <c r="Q203" s="272">
        <v>0</v>
      </c>
      <c r="R203" s="3"/>
    </row>
    <row r="204" spans="1:18">
      <c r="A204" s="139" t="s">
        <v>586</v>
      </c>
      <c r="B204" s="139" t="s">
        <v>587</v>
      </c>
      <c r="C204" s="139" t="s">
        <v>156</v>
      </c>
      <c r="D204" s="139" t="s">
        <v>162</v>
      </c>
      <c r="E204" s="139" t="s">
        <v>100</v>
      </c>
      <c r="F204" s="102">
        <v>175247.35</v>
      </c>
      <c r="G204" s="101"/>
      <c r="H204" s="103">
        <f t="shared" si="3"/>
        <v>175247.35</v>
      </c>
      <c r="L204" s="271" t="s">
        <v>586</v>
      </c>
      <c r="M204" s="271" t="s">
        <v>587</v>
      </c>
      <c r="N204" s="272">
        <v>175247.35</v>
      </c>
      <c r="O204" s="112">
        <v>0</v>
      </c>
      <c r="P204" s="111">
        <v>175247.35</v>
      </c>
      <c r="Q204" s="272">
        <v>0</v>
      </c>
      <c r="R204" s="3"/>
    </row>
    <row r="205" spans="1:18">
      <c r="A205" s="139" t="s">
        <v>588</v>
      </c>
      <c r="B205" s="139" t="s">
        <v>589</v>
      </c>
      <c r="C205" s="139" t="s">
        <v>156</v>
      </c>
      <c r="D205" s="139" t="s">
        <v>162</v>
      </c>
      <c r="E205" s="139" t="s">
        <v>100</v>
      </c>
      <c r="F205" s="102">
        <v>47333.94</v>
      </c>
      <c r="G205" s="101"/>
      <c r="H205" s="103">
        <f t="shared" si="3"/>
        <v>47333.94</v>
      </c>
      <c r="L205" s="271" t="s">
        <v>588</v>
      </c>
      <c r="M205" s="271" t="s">
        <v>589</v>
      </c>
      <c r="N205" s="272">
        <v>47333.94</v>
      </c>
      <c r="O205" s="112">
        <v>0</v>
      </c>
      <c r="P205" s="111">
        <v>47333.94</v>
      </c>
      <c r="Q205" s="272">
        <v>0</v>
      </c>
      <c r="R205" s="3"/>
    </row>
    <row r="206" spans="1:18">
      <c r="A206" s="139" t="s">
        <v>590</v>
      </c>
      <c r="B206" s="139" t="s">
        <v>591</v>
      </c>
      <c r="C206" s="139" t="s">
        <v>156</v>
      </c>
      <c r="D206" s="139" t="s">
        <v>162</v>
      </c>
      <c r="E206" s="139" t="s">
        <v>100</v>
      </c>
      <c r="F206" s="102">
        <v>25762.97</v>
      </c>
      <c r="G206" s="101"/>
      <c r="H206" s="103">
        <f t="shared" si="3"/>
        <v>25762.97</v>
      </c>
      <c r="L206" s="271" t="s">
        <v>590</v>
      </c>
      <c r="M206" s="271" t="s">
        <v>591</v>
      </c>
      <c r="N206" s="272">
        <v>25762.97</v>
      </c>
      <c r="O206" s="111">
        <v>25762.97</v>
      </c>
      <c r="P206" s="112">
        <v>0</v>
      </c>
      <c r="Q206" s="272">
        <v>0</v>
      </c>
      <c r="R206" s="3"/>
    </row>
    <row r="207" spans="1:18">
      <c r="A207" s="139" t="s">
        <v>592</v>
      </c>
      <c r="B207" s="139" t="s">
        <v>593</v>
      </c>
      <c r="C207" s="139" t="s">
        <v>156</v>
      </c>
      <c r="D207" s="139" t="s">
        <v>162</v>
      </c>
      <c r="E207" s="139" t="s">
        <v>100</v>
      </c>
      <c r="F207" s="102">
        <v>14065.74</v>
      </c>
      <c r="G207" s="101"/>
      <c r="H207" s="103">
        <f t="shared" si="3"/>
        <v>14065.74</v>
      </c>
      <c r="L207" s="271" t="s">
        <v>592</v>
      </c>
      <c r="M207" s="271" t="s">
        <v>593</v>
      </c>
      <c r="N207" s="272">
        <v>14065.74</v>
      </c>
      <c r="O207" s="111">
        <v>14065.74</v>
      </c>
      <c r="P207" s="112">
        <v>0</v>
      </c>
      <c r="Q207" s="272">
        <v>0</v>
      </c>
      <c r="R207" s="3"/>
    </row>
    <row r="208" spans="1:18">
      <c r="A208" s="139" t="s">
        <v>594</v>
      </c>
      <c r="B208" s="139" t="s">
        <v>595</v>
      </c>
      <c r="C208" s="139" t="s">
        <v>156</v>
      </c>
      <c r="D208" s="139" t="s">
        <v>169</v>
      </c>
      <c r="E208" s="139" t="s">
        <v>596</v>
      </c>
      <c r="F208" s="102">
        <v>456106.21</v>
      </c>
      <c r="G208" s="101"/>
      <c r="H208" s="103"/>
      <c r="L208" s="271" t="s">
        <v>594</v>
      </c>
      <c r="M208" s="271" t="s">
        <v>595</v>
      </c>
      <c r="N208" s="272">
        <v>456106.21</v>
      </c>
      <c r="O208" s="112"/>
      <c r="P208" s="112">
        <v>222581.29</v>
      </c>
      <c r="Q208" s="272">
        <v>0</v>
      </c>
      <c r="R208" s="3"/>
    </row>
    <row r="209" spans="1:18">
      <c r="A209" s="139" t="s">
        <v>597</v>
      </c>
      <c r="B209" s="139" t="s">
        <v>595</v>
      </c>
      <c r="C209" s="139" t="s">
        <v>156</v>
      </c>
      <c r="D209" s="139" t="s">
        <v>598</v>
      </c>
      <c r="E209" s="139" t="s">
        <v>100</v>
      </c>
      <c r="F209" s="102">
        <v>0</v>
      </c>
      <c r="G209" s="101"/>
      <c r="H209" s="103"/>
      <c r="L209" s="271" t="s">
        <v>597</v>
      </c>
      <c r="M209" s="271" t="s">
        <v>595</v>
      </c>
      <c r="N209" s="272">
        <v>0</v>
      </c>
      <c r="O209" s="112"/>
      <c r="P209" s="112">
        <v>0</v>
      </c>
      <c r="Q209" s="272">
        <v>0</v>
      </c>
      <c r="R209" s="3"/>
    </row>
    <row r="210" spans="1:18">
      <c r="A210" s="139" t="s">
        <v>599</v>
      </c>
      <c r="B210" s="139" t="s">
        <v>600</v>
      </c>
      <c r="C210" s="139" t="s">
        <v>156</v>
      </c>
      <c r="D210" s="139" t="s">
        <v>157</v>
      </c>
      <c r="E210" s="139" t="s">
        <v>100</v>
      </c>
      <c r="F210" s="102">
        <v>0</v>
      </c>
      <c r="G210" s="101"/>
      <c r="H210" s="103"/>
      <c r="L210" s="271" t="s">
        <v>599</v>
      </c>
      <c r="M210" s="271" t="s">
        <v>600</v>
      </c>
      <c r="N210" s="272">
        <v>0</v>
      </c>
      <c r="O210" s="112">
        <v>0</v>
      </c>
      <c r="P210" s="112">
        <v>0</v>
      </c>
      <c r="Q210" s="272">
        <v>0</v>
      </c>
      <c r="R210" s="3"/>
    </row>
    <row r="211" spans="1:18">
      <c r="A211" s="139" t="s">
        <v>601</v>
      </c>
      <c r="B211" s="139" t="s">
        <v>602</v>
      </c>
      <c r="C211" s="139" t="s">
        <v>156</v>
      </c>
      <c r="D211" s="139" t="s">
        <v>162</v>
      </c>
      <c r="E211" s="139" t="s">
        <v>100</v>
      </c>
      <c r="F211" s="102">
        <v>0</v>
      </c>
      <c r="G211" s="101"/>
      <c r="H211" s="103">
        <f t="shared" si="3"/>
        <v>0</v>
      </c>
      <c r="L211" s="271" t="s">
        <v>601</v>
      </c>
      <c r="M211" s="271" t="s">
        <v>602</v>
      </c>
      <c r="N211" s="272">
        <v>0</v>
      </c>
      <c r="O211" s="112">
        <v>0</v>
      </c>
      <c r="P211" s="111">
        <v>0</v>
      </c>
      <c r="Q211" s="272">
        <v>0</v>
      </c>
      <c r="R211" s="3"/>
    </row>
    <row r="212" spans="1:18">
      <c r="A212" s="139" t="s">
        <v>603</v>
      </c>
      <c r="B212" s="139" t="s">
        <v>604</v>
      </c>
      <c r="C212" s="139" t="s">
        <v>156</v>
      </c>
      <c r="D212" s="139" t="s">
        <v>162</v>
      </c>
      <c r="E212" s="139" t="s">
        <v>100</v>
      </c>
      <c r="F212" s="102">
        <v>3307.03</v>
      </c>
      <c r="G212" s="101"/>
      <c r="H212" s="103">
        <f t="shared" si="3"/>
        <v>3307.03</v>
      </c>
      <c r="L212" s="271" t="s">
        <v>603</v>
      </c>
      <c r="M212" s="271" t="s">
        <v>604</v>
      </c>
      <c r="N212" s="272">
        <v>3307.03</v>
      </c>
      <c r="O212" s="112">
        <v>0</v>
      </c>
      <c r="P212" s="111">
        <v>3307.03</v>
      </c>
      <c r="Q212" s="272">
        <v>0</v>
      </c>
      <c r="R212" s="3"/>
    </row>
    <row r="213" spans="1:18">
      <c r="A213" s="139" t="s">
        <v>605</v>
      </c>
      <c r="B213" s="139" t="s">
        <v>606</v>
      </c>
      <c r="C213" s="139" t="s">
        <v>156</v>
      </c>
      <c r="D213" s="139" t="s">
        <v>162</v>
      </c>
      <c r="E213" s="139" t="s">
        <v>100</v>
      </c>
      <c r="F213" s="102">
        <v>84.35</v>
      </c>
      <c r="G213" s="101"/>
      <c r="H213" s="103">
        <f t="shared" si="3"/>
        <v>84.35</v>
      </c>
      <c r="L213" s="271" t="s">
        <v>605</v>
      </c>
      <c r="M213" s="271" t="s">
        <v>606</v>
      </c>
      <c r="N213" s="272">
        <v>84.35</v>
      </c>
      <c r="O213" s="112">
        <v>0</v>
      </c>
      <c r="P213" s="111">
        <v>84.35</v>
      </c>
      <c r="Q213" s="272">
        <v>0</v>
      </c>
      <c r="R213" s="3"/>
    </row>
    <row r="214" spans="1:18">
      <c r="A214" s="139" t="s">
        <v>607</v>
      </c>
      <c r="B214" s="139" t="s">
        <v>608</v>
      </c>
      <c r="C214" s="139" t="s">
        <v>156</v>
      </c>
      <c r="D214" s="139" t="s">
        <v>162</v>
      </c>
      <c r="E214" s="139" t="s">
        <v>100</v>
      </c>
      <c r="F214" s="102">
        <v>7205.9</v>
      </c>
      <c r="G214" s="101"/>
      <c r="H214" s="103">
        <f t="shared" si="3"/>
        <v>7205.9</v>
      </c>
      <c r="L214" s="271" t="s">
        <v>607</v>
      </c>
      <c r="M214" s="271" t="s">
        <v>608</v>
      </c>
      <c r="N214" s="272">
        <v>7205.9</v>
      </c>
      <c r="O214" s="112">
        <v>0</v>
      </c>
      <c r="P214" s="111">
        <v>7205.9</v>
      </c>
      <c r="Q214" s="272">
        <v>0</v>
      </c>
      <c r="R214" s="3"/>
    </row>
    <row r="215" spans="1:18">
      <c r="A215" s="139" t="s">
        <v>609</v>
      </c>
      <c r="B215" s="139" t="s">
        <v>610</v>
      </c>
      <c r="C215" s="139" t="s">
        <v>156</v>
      </c>
      <c r="D215" s="139" t="s">
        <v>162</v>
      </c>
      <c r="E215" s="139" t="s">
        <v>100</v>
      </c>
      <c r="F215" s="102">
        <v>0</v>
      </c>
      <c r="G215" s="101"/>
      <c r="H215" s="103">
        <f t="shared" si="3"/>
        <v>0</v>
      </c>
      <c r="L215" s="271" t="s">
        <v>609</v>
      </c>
      <c r="M215" s="271" t="s">
        <v>610</v>
      </c>
      <c r="N215" s="272">
        <v>0</v>
      </c>
      <c r="O215" s="112">
        <v>0</v>
      </c>
      <c r="P215" s="111">
        <v>0</v>
      </c>
      <c r="Q215" s="272">
        <v>0</v>
      </c>
      <c r="R215" s="3"/>
    </row>
    <row r="216" spans="1:18">
      <c r="A216" s="139" t="s">
        <v>611</v>
      </c>
      <c r="B216" s="139" t="s">
        <v>612</v>
      </c>
      <c r="C216" s="139" t="s">
        <v>156</v>
      </c>
      <c r="D216" s="139" t="s">
        <v>162</v>
      </c>
      <c r="E216" s="139" t="s">
        <v>100</v>
      </c>
      <c r="F216" s="102">
        <v>727.25</v>
      </c>
      <c r="G216" s="101"/>
      <c r="H216" s="103">
        <f t="shared" si="3"/>
        <v>727.25</v>
      </c>
      <c r="L216" s="271" t="s">
        <v>611</v>
      </c>
      <c r="M216" s="271" t="s">
        <v>612</v>
      </c>
      <c r="N216" s="272">
        <v>727.25</v>
      </c>
      <c r="O216" s="112">
        <v>0</v>
      </c>
      <c r="P216" s="111">
        <v>727.25</v>
      </c>
      <c r="Q216" s="272">
        <v>0</v>
      </c>
      <c r="R216" s="3"/>
    </row>
    <row r="217" spans="1:18">
      <c r="A217" s="139" t="s">
        <v>613</v>
      </c>
      <c r="B217" s="139" t="s">
        <v>614</v>
      </c>
      <c r="C217" s="139" t="s">
        <v>156</v>
      </c>
      <c r="D217" s="139" t="s">
        <v>162</v>
      </c>
      <c r="E217" s="139" t="s">
        <v>100</v>
      </c>
      <c r="F217" s="102">
        <v>0</v>
      </c>
      <c r="G217" s="101"/>
      <c r="H217" s="103">
        <f t="shared" si="3"/>
        <v>0</v>
      </c>
      <c r="L217" s="271" t="s">
        <v>613</v>
      </c>
      <c r="M217" s="271" t="s">
        <v>614</v>
      </c>
      <c r="N217" s="272">
        <v>0</v>
      </c>
      <c r="O217" s="112">
        <v>0</v>
      </c>
      <c r="P217" s="111">
        <v>0</v>
      </c>
      <c r="Q217" s="272">
        <v>0</v>
      </c>
      <c r="R217" s="3"/>
    </row>
    <row r="218" spans="1:18">
      <c r="A218" s="139" t="s">
        <v>615</v>
      </c>
      <c r="B218" s="139" t="s">
        <v>616</v>
      </c>
      <c r="C218" s="139" t="s">
        <v>156</v>
      </c>
      <c r="D218" s="139" t="s">
        <v>162</v>
      </c>
      <c r="E218" s="139" t="s">
        <v>100</v>
      </c>
      <c r="F218" s="102">
        <v>0</v>
      </c>
      <c r="G218" s="101"/>
      <c r="H218" s="103">
        <f t="shared" si="3"/>
        <v>0</v>
      </c>
      <c r="L218" s="271" t="s">
        <v>615</v>
      </c>
      <c r="M218" s="271" t="s">
        <v>616</v>
      </c>
      <c r="N218" s="272">
        <v>0</v>
      </c>
      <c r="O218" s="112">
        <v>0</v>
      </c>
      <c r="P218" s="111">
        <v>0</v>
      </c>
      <c r="Q218" s="272">
        <v>0</v>
      </c>
      <c r="R218" s="3"/>
    </row>
    <row r="219" spans="1:18">
      <c r="A219" s="139" t="s">
        <v>617</v>
      </c>
      <c r="B219" s="139" t="s">
        <v>618</v>
      </c>
      <c r="C219" s="139" t="s">
        <v>156</v>
      </c>
      <c r="D219" s="139" t="s">
        <v>169</v>
      </c>
      <c r="E219" s="139" t="s">
        <v>619</v>
      </c>
      <c r="F219" s="102">
        <v>11324.53</v>
      </c>
      <c r="G219" s="101"/>
      <c r="H219" s="103"/>
      <c r="L219" s="271" t="s">
        <v>617</v>
      </c>
      <c r="M219" s="271" t="s">
        <v>618</v>
      </c>
      <c r="N219" s="272">
        <v>11324.53</v>
      </c>
      <c r="O219" s="112">
        <v>0</v>
      </c>
      <c r="P219" s="111">
        <v>11324.53</v>
      </c>
      <c r="Q219" s="272">
        <v>0</v>
      </c>
      <c r="R219" s="3"/>
    </row>
    <row r="220" spans="1:18">
      <c r="A220" s="139" t="s">
        <v>620</v>
      </c>
      <c r="B220" s="139" t="s">
        <v>621</v>
      </c>
      <c r="C220" s="139" t="s">
        <v>156</v>
      </c>
      <c r="D220" s="139" t="s">
        <v>169</v>
      </c>
      <c r="E220" s="139" t="s">
        <v>622</v>
      </c>
      <c r="F220" s="102">
        <v>2521992.14</v>
      </c>
      <c r="G220" s="101"/>
      <c r="H220" s="103"/>
      <c r="L220" s="271" t="s">
        <v>620</v>
      </c>
      <c r="M220" s="271" t="s">
        <v>621</v>
      </c>
      <c r="N220" s="272">
        <v>2521992.14</v>
      </c>
      <c r="O220" s="112">
        <v>1589241.04</v>
      </c>
      <c r="P220" s="112">
        <v>1000013</v>
      </c>
      <c r="Q220" s="272">
        <v>-67261.899999999994</v>
      </c>
      <c r="R220" s="3"/>
    </row>
    <row r="221" spans="1:18">
      <c r="A221" s="139" t="s">
        <v>623</v>
      </c>
      <c r="B221" s="139" t="s">
        <v>624</v>
      </c>
      <c r="C221" s="139" t="s">
        <v>156</v>
      </c>
      <c r="D221" s="139" t="s">
        <v>169</v>
      </c>
      <c r="E221" s="139" t="s">
        <v>625</v>
      </c>
      <c r="F221" s="102">
        <v>2521992.14</v>
      </c>
      <c r="G221" s="101"/>
      <c r="H221" s="103"/>
      <c r="L221" s="271" t="s">
        <v>623</v>
      </c>
      <c r="M221" s="271" t="s">
        <v>624</v>
      </c>
      <c r="N221" s="272">
        <v>2521992.14</v>
      </c>
      <c r="O221" s="112">
        <v>1589241.04</v>
      </c>
      <c r="P221" s="112">
        <v>1000013</v>
      </c>
      <c r="Q221" s="272">
        <v>-67261.899999999994</v>
      </c>
      <c r="R221" s="3"/>
    </row>
    <row r="222" spans="1:18">
      <c r="A222" s="139" t="s">
        <v>626</v>
      </c>
      <c r="B222" s="139" t="s">
        <v>627</v>
      </c>
      <c r="C222" s="139" t="s">
        <v>156</v>
      </c>
      <c r="D222" s="139" t="s">
        <v>157</v>
      </c>
      <c r="E222" s="139" t="s">
        <v>100</v>
      </c>
      <c r="F222" s="102">
        <v>0</v>
      </c>
      <c r="G222" s="101"/>
      <c r="H222" s="103"/>
      <c r="L222" s="271" t="s">
        <v>626</v>
      </c>
      <c r="M222" s="271" t="s">
        <v>627</v>
      </c>
      <c r="N222" s="272">
        <v>0</v>
      </c>
      <c r="O222" s="112">
        <v>0</v>
      </c>
      <c r="P222" s="112">
        <v>0</v>
      </c>
      <c r="Q222" s="272">
        <v>0</v>
      </c>
      <c r="R222" s="3"/>
    </row>
    <row r="223" spans="1:18">
      <c r="A223" s="139" t="s">
        <v>628</v>
      </c>
      <c r="B223" s="139" t="s">
        <v>629</v>
      </c>
      <c r="C223" s="139" t="s">
        <v>156</v>
      </c>
      <c r="D223" s="139" t="s">
        <v>162</v>
      </c>
      <c r="E223" s="139" t="s">
        <v>100</v>
      </c>
      <c r="F223" s="102">
        <v>9054.82</v>
      </c>
      <c r="G223" s="101"/>
      <c r="H223" s="103">
        <f t="shared" si="3"/>
        <v>9054.82</v>
      </c>
      <c r="L223" s="271" t="s">
        <v>628</v>
      </c>
      <c r="M223" s="271" t="s">
        <v>629</v>
      </c>
      <c r="N223" s="272">
        <v>0</v>
      </c>
      <c r="O223" s="112">
        <v>0</v>
      </c>
      <c r="P223" s="112">
        <v>0</v>
      </c>
      <c r="Q223" s="272">
        <v>0</v>
      </c>
      <c r="R223" s="3"/>
    </row>
    <row r="224" spans="1:18">
      <c r="A224" s="139" t="s">
        <v>630</v>
      </c>
      <c r="B224" s="139" t="s">
        <v>631</v>
      </c>
      <c r="C224" s="139" t="s">
        <v>156</v>
      </c>
      <c r="D224" s="139" t="s">
        <v>169</v>
      </c>
      <c r="E224" s="139" t="s">
        <v>632</v>
      </c>
      <c r="F224" s="102">
        <v>9054.82</v>
      </c>
      <c r="G224" s="101"/>
      <c r="H224" s="103"/>
      <c r="L224" s="271" t="s">
        <v>630</v>
      </c>
      <c r="M224" s="271" t="s">
        <v>631</v>
      </c>
      <c r="N224" s="272">
        <v>0</v>
      </c>
      <c r="O224" s="112">
        <v>0</v>
      </c>
      <c r="P224" s="112">
        <v>0</v>
      </c>
      <c r="Q224" s="272">
        <v>0</v>
      </c>
      <c r="R224" s="3"/>
    </row>
    <row r="225" spans="1:18">
      <c r="A225" s="139" t="s">
        <v>633</v>
      </c>
      <c r="B225" s="139" t="s">
        <v>634</v>
      </c>
      <c r="C225" s="139" t="s">
        <v>156</v>
      </c>
      <c r="D225" s="139" t="s">
        <v>169</v>
      </c>
      <c r="E225" s="139" t="s">
        <v>635</v>
      </c>
      <c r="F225" s="102">
        <v>2531046.96</v>
      </c>
      <c r="G225" s="101"/>
      <c r="H225" s="103"/>
      <c r="L225" s="271" t="s">
        <v>633</v>
      </c>
      <c r="M225" s="271" t="s">
        <v>634</v>
      </c>
      <c r="N225" s="272">
        <v>2521992.14</v>
      </c>
      <c r="O225" s="112">
        <v>1589241.04</v>
      </c>
      <c r="P225" s="112">
        <v>1000013</v>
      </c>
      <c r="Q225" s="272">
        <v>-67261.899999999994</v>
      </c>
      <c r="R225" s="3"/>
    </row>
    <row r="226" spans="1:18">
      <c r="A226" s="139" t="s">
        <v>636</v>
      </c>
      <c r="B226" s="139" t="s">
        <v>637</v>
      </c>
      <c r="C226" s="139" t="s">
        <v>156</v>
      </c>
      <c r="D226" s="139" t="s">
        <v>157</v>
      </c>
      <c r="E226" s="139" t="s">
        <v>100</v>
      </c>
      <c r="F226" s="102">
        <v>0</v>
      </c>
      <c r="G226" s="101"/>
      <c r="H226" s="103"/>
    </row>
    <row r="227" spans="1:18">
      <c r="A227" s="139" t="s">
        <v>2165</v>
      </c>
      <c r="B227" s="139" t="s">
        <v>639</v>
      </c>
      <c r="C227" s="139" t="s">
        <v>156</v>
      </c>
      <c r="D227" s="139" t="s">
        <v>157</v>
      </c>
      <c r="E227" s="139" t="s">
        <v>100</v>
      </c>
      <c r="F227" s="102">
        <v>0</v>
      </c>
      <c r="G227" s="101"/>
      <c r="H227" s="103"/>
    </row>
    <row r="228" spans="1:18">
      <c r="A228" s="139" t="s">
        <v>638</v>
      </c>
      <c r="B228" s="139" t="s">
        <v>639</v>
      </c>
      <c r="C228" s="139" t="s">
        <v>156</v>
      </c>
      <c r="D228" s="139" t="s">
        <v>157</v>
      </c>
      <c r="E228" s="139" t="s">
        <v>100</v>
      </c>
      <c r="F228" s="102">
        <v>0</v>
      </c>
      <c r="G228" s="101"/>
      <c r="H228" s="103"/>
    </row>
    <row r="229" spans="1:18">
      <c r="A229" s="139" t="s">
        <v>640</v>
      </c>
      <c r="B229" s="139" t="s">
        <v>641</v>
      </c>
      <c r="C229" s="139" t="s">
        <v>156</v>
      </c>
      <c r="D229" s="139" t="s">
        <v>162</v>
      </c>
      <c r="E229" s="139" t="s">
        <v>100</v>
      </c>
      <c r="F229" s="102">
        <v>-2638726.87</v>
      </c>
      <c r="G229" s="101"/>
      <c r="H229" s="103">
        <f t="shared" si="3"/>
        <v>-2638726.87</v>
      </c>
    </row>
    <row r="230" spans="1:18">
      <c r="A230" s="139" t="s">
        <v>642</v>
      </c>
      <c r="B230" s="139" t="s">
        <v>643</v>
      </c>
      <c r="C230" s="139" t="s">
        <v>156</v>
      </c>
      <c r="D230" s="139" t="s">
        <v>162</v>
      </c>
      <c r="E230" s="139" t="s">
        <v>100</v>
      </c>
      <c r="F230" s="102">
        <v>-67231.509999999995</v>
      </c>
      <c r="G230" s="101"/>
      <c r="H230" s="103">
        <f t="shared" si="3"/>
        <v>-67231.509999999995</v>
      </c>
    </row>
    <row r="231" spans="1:18">
      <c r="A231" s="139" t="s">
        <v>644</v>
      </c>
      <c r="B231" s="139" t="s">
        <v>645</v>
      </c>
      <c r="C231" s="139" t="s">
        <v>156</v>
      </c>
      <c r="D231" s="139" t="s">
        <v>162</v>
      </c>
      <c r="E231" s="139" t="s">
        <v>100</v>
      </c>
      <c r="F231" s="102">
        <v>10000</v>
      </c>
      <c r="G231" s="101"/>
      <c r="H231" s="103">
        <f t="shared" si="3"/>
        <v>10000</v>
      </c>
    </row>
    <row r="232" spans="1:18">
      <c r="A232" s="139" t="s">
        <v>646</v>
      </c>
      <c r="B232" s="139" t="s">
        <v>202</v>
      </c>
      <c r="C232" s="139" t="s">
        <v>156</v>
      </c>
      <c r="D232" s="139" t="s">
        <v>162</v>
      </c>
      <c r="E232" s="139" t="s">
        <v>100</v>
      </c>
      <c r="F232" s="102">
        <v>-16667</v>
      </c>
      <c r="G232" s="101"/>
      <c r="H232" s="103">
        <f t="shared" si="3"/>
        <v>-16667</v>
      </c>
    </row>
    <row r="233" spans="1:18">
      <c r="A233" s="139" t="s">
        <v>647</v>
      </c>
      <c r="B233" s="139" t="s">
        <v>648</v>
      </c>
      <c r="C233" s="139" t="s">
        <v>156</v>
      </c>
      <c r="D233" s="139" t="s">
        <v>162</v>
      </c>
      <c r="E233" s="139" t="s">
        <v>100</v>
      </c>
      <c r="F233" s="102">
        <v>131651.39000000001</v>
      </c>
      <c r="G233" s="101"/>
      <c r="H233" s="103">
        <f t="shared" si="3"/>
        <v>131651.39000000001</v>
      </c>
    </row>
    <row r="234" spans="1:18">
      <c r="A234" s="139" t="s">
        <v>649</v>
      </c>
      <c r="B234" s="139" t="s">
        <v>650</v>
      </c>
      <c r="C234" s="139" t="s">
        <v>156</v>
      </c>
      <c r="D234" s="139" t="s">
        <v>162</v>
      </c>
      <c r="E234" s="139" t="s">
        <v>100</v>
      </c>
      <c r="F234" s="102">
        <v>210149.64</v>
      </c>
      <c r="G234" s="101"/>
      <c r="H234" s="103">
        <f t="shared" si="3"/>
        <v>210149.64</v>
      </c>
    </row>
    <row r="235" spans="1:18">
      <c r="A235" s="139" t="s">
        <v>651</v>
      </c>
      <c r="B235" s="139" t="s">
        <v>652</v>
      </c>
      <c r="C235" s="139" t="s">
        <v>156</v>
      </c>
      <c r="D235" s="139" t="s">
        <v>162</v>
      </c>
      <c r="E235" s="139" t="s">
        <v>100</v>
      </c>
      <c r="F235" s="102">
        <v>329571.87</v>
      </c>
      <c r="G235" s="101"/>
      <c r="H235" s="103">
        <f t="shared" si="3"/>
        <v>329571.87</v>
      </c>
    </row>
    <row r="236" spans="1:18">
      <c r="A236" s="139" t="s">
        <v>653</v>
      </c>
      <c r="B236" s="139" t="s">
        <v>654</v>
      </c>
      <c r="C236" s="139" t="s">
        <v>156</v>
      </c>
      <c r="D236" s="139" t="s">
        <v>162</v>
      </c>
      <c r="E236" s="139" t="s">
        <v>100</v>
      </c>
      <c r="F236" s="102">
        <v>4826</v>
      </c>
      <c r="G236" s="101"/>
      <c r="H236" s="103">
        <f t="shared" si="3"/>
        <v>4826</v>
      </c>
    </row>
    <row r="237" spans="1:18">
      <c r="A237" s="139" t="s">
        <v>655</v>
      </c>
      <c r="B237" s="139" t="s">
        <v>656</v>
      </c>
      <c r="C237" s="139" t="s">
        <v>156</v>
      </c>
      <c r="D237" s="139" t="s">
        <v>162</v>
      </c>
      <c r="E237" s="139" t="s">
        <v>100</v>
      </c>
      <c r="F237" s="102">
        <v>31563.31</v>
      </c>
      <c r="G237" s="101"/>
      <c r="H237" s="103">
        <f t="shared" si="3"/>
        <v>31563.31</v>
      </c>
    </row>
    <row r="238" spans="1:18">
      <c r="A238" s="139" t="s">
        <v>657</v>
      </c>
      <c r="B238" s="139" t="s">
        <v>658</v>
      </c>
      <c r="C238" s="139" t="s">
        <v>156</v>
      </c>
      <c r="D238" s="139" t="s">
        <v>162</v>
      </c>
      <c r="E238" s="139" t="s">
        <v>100</v>
      </c>
      <c r="F238" s="102">
        <v>4196.3999999999996</v>
      </c>
      <c r="G238" s="101"/>
      <c r="H238" s="103">
        <f t="shared" si="3"/>
        <v>4196.3999999999996</v>
      </c>
    </row>
    <row r="239" spans="1:18">
      <c r="A239" s="139" t="s">
        <v>659</v>
      </c>
      <c r="B239" s="139" t="s">
        <v>660</v>
      </c>
      <c r="C239" s="139" t="s">
        <v>156</v>
      </c>
      <c r="D239" s="139" t="s">
        <v>162</v>
      </c>
      <c r="E239" s="139" t="s">
        <v>100</v>
      </c>
      <c r="F239" s="102">
        <v>973705.49</v>
      </c>
      <c r="G239" s="101"/>
      <c r="H239" s="103">
        <f t="shared" si="3"/>
        <v>973705.49</v>
      </c>
    </row>
    <row r="240" spans="1:18">
      <c r="A240" s="139" t="s">
        <v>661</v>
      </c>
      <c r="B240" s="139" t="s">
        <v>662</v>
      </c>
      <c r="C240" s="139" t="s">
        <v>156</v>
      </c>
      <c r="D240" s="139" t="s">
        <v>162</v>
      </c>
      <c r="E240" s="139" t="s">
        <v>100</v>
      </c>
      <c r="F240" s="102">
        <v>0</v>
      </c>
      <c r="G240" s="101"/>
      <c r="H240" s="103">
        <f t="shared" si="3"/>
        <v>0</v>
      </c>
    </row>
    <row r="241" spans="1:8">
      <c r="A241" s="139" t="s">
        <v>663</v>
      </c>
      <c r="B241" s="139" t="s">
        <v>664</v>
      </c>
      <c r="C241" s="139" t="s">
        <v>156</v>
      </c>
      <c r="D241" s="139" t="s">
        <v>162</v>
      </c>
      <c r="E241" s="139" t="s">
        <v>100</v>
      </c>
      <c r="F241" s="102">
        <v>832082.38</v>
      </c>
      <c r="G241" s="101"/>
      <c r="H241" s="103">
        <f t="shared" si="3"/>
        <v>832082.38</v>
      </c>
    </row>
    <row r="242" spans="1:8">
      <c r="A242" s="139" t="s">
        <v>665</v>
      </c>
      <c r="B242" s="139" t="s">
        <v>666</v>
      </c>
      <c r="C242" s="139" t="s">
        <v>156</v>
      </c>
      <c r="D242" s="139" t="s">
        <v>162</v>
      </c>
      <c r="E242" s="139" t="s">
        <v>100</v>
      </c>
      <c r="F242" s="102">
        <v>167816.11</v>
      </c>
      <c r="G242" s="101"/>
      <c r="H242" s="103">
        <f t="shared" si="3"/>
        <v>167816.11</v>
      </c>
    </row>
    <row r="243" spans="1:8">
      <c r="A243" s="139" t="s">
        <v>667</v>
      </c>
      <c r="B243" s="139" t="s">
        <v>220</v>
      </c>
      <c r="C243" s="139" t="s">
        <v>156</v>
      </c>
      <c r="D243" s="139" t="s">
        <v>162</v>
      </c>
      <c r="E243" s="139" t="s">
        <v>100</v>
      </c>
      <c r="F243" s="102">
        <v>55653.83</v>
      </c>
      <c r="G243" s="101"/>
      <c r="H243" s="103">
        <f t="shared" si="3"/>
        <v>55653.83</v>
      </c>
    </row>
    <row r="244" spans="1:8">
      <c r="A244" s="139" t="s">
        <v>668</v>
      </c>
      <c r="B244" s="139" t="s">
        <v>669</v>
      </c>
      <c r="C244" s="139" t="s">
        <v>156</v>
      </c>
      <c r="D244" s="139" t="s">
        <v>162</v>
      </c>
      <c r="E244" s="139" t="s">
        <v>100</v>
      </c>
      <c r="F244" s="102">
        <v>130031.36</v>
      </c>
      <c r="G244" s="101"/>
      <c r="H244" s="103">
        <f t="shared" si="3"/>
        <v>130031.36</v>
      </c>
    </row>
    <row r="245" spans="1:8">
      <c r="A245" s="139" t="s">
        <v>670</v>
      </c>
      <c r="B245" s="139" t="s">
        <v>671</v>
      </c>
      <c r="C245" s="139" t="s">
        <v>156</v>
      </c>
      <c r="D245" s="139" t="s">
        <v>162</v>
      </c>
      <c r="E245" s="139" t="s">
        <v>100</v>
      </c>
      <c r="F245" s="102">
        <v>0</v>
      </c>
      <c r="G245" s="101"/>
      <c r="H245" s="103">
        <f t="shared" si="3"/>
        <v>0</v>
      </c>
    </row>
    <row r="246" spans="1:8">
      <c r="A246" s="139" t="s">
        <v>2166</v>
      </c>
      <c r="B246" s="139" t="s">
        <v>2167</v>
      </c>
      <c r="C246" s="139" t="s">
        <v>156</v>
      </c>
      <c r="D246" s="139" t="s">
        <v>169</v>
      </c>
      <c r="E246" s="139" t="s">
        <v>2168</v>
      </c>
      <c r="F246" s="102">
        <v>158622.39999999999</v>
      </c>
      <c r="G246" s="101"/>
      <c r="H246" s="103"/>
    </row>
    <row r="247" spans="1:8">
      <c r="A247" s="139" t="s">
        <v>672</v>
      </c>
      <c r="B247" s="139" t="s">
        <v>673</v>
      </c>
      <c r="C247" s="139" t="s">
        <v>156</v>
      </c>
      <c r="D247" s="139" t="s">
        <v>169</v>
      </c>
      <c r="E247" s="139" t="s">
        <v>2169</v>
      </c>
      <c r="F247" s="102">
        <v>158622.39999999999</v>
      </c>
      <c r="G247" s="101"/>
      <c r="H247" s="103"/>
    </row>
    <row r="248" spans="1:8">
      <c r="A248" s="139" t="s">
        <v>675</v>
      </c>
      <c r="B248" s="139" t="s">
        <v>676</v>
      </c>
      <c r="C248" s="139" t="s">
        <v>156</v>
      </c>
      <c r="D248" s="139" t="s">
        <v>157</v>
      </c>
      <c r="E248" s="139" t="s">
        <v>100</v>
      </c>
      <c r="F248" s="102">
        <v>0</v>
      </c>
      <c r="G248" s="101"/>
      <c r="H248" s="103"/>
    </row>
    <row r="249" spans="1:8">
      <c r="A249" s="139" t="s">
        <v>677</v>
      </c>
      <c r="B249" s="139" t="s">
        <v>678</v>
      </c>
      <c r="C249" s="139" t="s">
        <v>156</v>
      </c>
      <c r="D249" s="139" t="s">
        <v>162</v>
      </c>
      <c r="E249" s="139" t="s">
        <v>100</v>
      </c>
      <c r="F249" s="102">
        <v>0</v>
      </c>
      <c r="G249" s="101"/>
      <c r="H249" s="103">
        <f t="shared" si="3"/>
        <v>0</v>
      </c>
    </row>
    <row r="250" spans="1:8">
      <c r="A250" s="139" t="s">
        <v>679</v>
      </c>
      <c r="B250" s="139" t="s">
        <v>680</v>
      </c>
      <c r="C250" s="139" t="s">
        <v>156</v>
      </c>
      <c r="D250" s="139" t="s">
        <v>162</v>
      </c>
      <c r="E250" s="139" t="s">
        <v>100</v>
      </c>
      <c r="F250" s="102">
        <v>0</v>
      </c>
      <c r="G250" s="101"/>
      <c r="H250" s="103">
        <f t="shared" si="3"/>
        <v>0</v>
      </c>
    </row>
    <row r="251" spans="1:8">
      <c r="A251" s="139" t="s">
        <v>681</v>
      </c>
      <c r="B251" s="139" t="s">
        <v>682</v>
      </c>
      <c r="C251" s="139" t="s">
        <v>156</v>
      </c>
      <c r="D251" s="139" t="s">
        <v>169</v>
      </c>
      <c r="E251" s="139" t="s">
        <v>683</v>
      </c>
      <c r="F251" s="102">
        <v>0</v>
      </c>
      <c r="G251" s="101"/>
      <c r="H251" s="103"/>
    </row>
    <row r="252" spans="1:8">
      <c r="A252" s="139" t="s">
        <v>684</v>
      </c>
      <c r="B252" s="139" t="s">
        <v>685</v>
      </c>
      <c r="C252" s="139" t="s">
        <v>156</v>
      </c>
      <c r="D252" s="139" t="s">
        <v>157</v>
      </c>
      <c r="E252" s="139" t="s">
        <v>100</v>
      </c>
      <c r="F252" s="102">
        <v>0</v>
      </c>
      <c r="G252" s="101"/>
      <c r="H252" s="103"/>
    </row>
    <row r="253" spans="1:8">
      <c r="A253" s="139" t="s">
        <v>686</v>
      </c>
      <c r="B253" s="139" t="s">
        <v>687</v>
      </c>
      <c r="C253" s="139" t="s">
        <v>156</v>
      </c>
      <c r="D253" s="139" t="s">
        <v>162</v>
      </c>
      <c r="E253" s="139" t="s">
        <v>100</v>
      </c>
      <c r="F253" s="102">
        <v>164848.29999999999</v>
      </c>
      <c r="G253" s="101"/>
      <c r="H253" s="103">
        <f t="shared" si="3"/>
        <v>164848.29999999999</v>
      </c>
    </row>
    <row r="254" spans="1:8">
      <c r="A254" s="139" t="s">
        <v>688</v>
      </c>
      <c r="B254" s="139" t="s">
        <v>689</v>
      </c>
      <c r="C254" s="139" t="s">
        <v>156</v>
      </c>
      <c r="D254" s="139" t="s">
        <v>162</v>
      </c>
      <c r="E254" s="139" t="s">
        <v>100</v>
      </c>
      <c r="F254" s="102">
        <v>0</v>
      </c>
      <c r="G254" s="101"/>
      <c r="H254" s="103">
        <f t="shared" si="3"/>
        <v>0</v>
      </c>
    </row>
    <row r="255" spans="1:8">
      <c r="A255" s="139" t="s">
        <v>690</v>
      </c>
      <c r="B255" s="139" t="s">
        <v>691</v>
      </c>
      <c r="C255" s="139" t="s">
        <v>156</v>
      </c>
      <c r="D255" s="139" t="s">
        <v>162</v>
      </c>
      <c r="E255" s="139" t="s">
        <v>100</v>
      </c>
      <c r="F255" s="102">
        <v>191614.36</v>
      </c>
      <c r="G255" s="101">
        <v>-147982.25</v>
      </c>
      <c r="H255" s="103">
        <f t="shared" si="3"/>
        <v>43632.109999999986</v>
      </c>
    </row>
    <row r="256" spans="1:8">
      <c r="A256" s="139" t="s">
        <v>692</v>
      </c>
      <c r="B256" s="139" t="s">
        <v>693</v>
      </c>
      <c r="C256" s="139" t="s">
        <v>156</v>
      </c>
      <c r="D256" s="139" t="s">
        <v>162</v>
      </c>
      <c r="E256" s="139" t="s">
        <v>100</v>
      </c>
      <c r="F256" s="102">
        <v>7698.1</v>
      </c>
      <c r="G256" s="101"/>
      <c r="H256" s="103">
        <f t="shared" si="3"/>
        <v>7698.1</v>
      </c>
    </row>
    <row r="257" spans="1:8">
      <c r="A257" s="139" t="s">
        <v>694</v>
      </c>
      <c r="B257" s="139" t="s">
        <v>695</v>
      </c>
      <c r="C257" s="139" t="s">
        <v>156</v>
      </c>
      <c r="D257" s="139" t="s">
        <v>162</v>
      </c>
      <c r="E257" s="139" t="s">
        <v>100</v>
      </c>
      <c r="F257" s="102">
        <v>11188.3</v>
      </c>
      <c r="G257" s="101"/>
      <c r="H257" s="103">
        <f t="shared" si="3"/>
        <v>11188.3</v>
      </c>
    </row>
    <row r="258" spans="1:8">
      <c r="A258" s="139" t="s">
        <v>696</v>
      </c>
      <c r="B258" s="139" t="s">
        <v>697</v>
      </c>
      <c r="C258" s="139" t="s">
        <v>156</v>
      </c>
      <c r="D258" s="139" t="s">
        <v>169</v>
      </c>
      <c r="E258" s="139" t="s">
        <v>698</v>
      </c>
      <c r="F258" s="102">
        <v>375349.06</v>
      </c>
      <c r="G258" s="101"/>
      <c r="H258" s="103"/>
    </row>
    <row r="259" spans="1:8">
      <c r="A259" s="139" t="s">
        <v>699</v>
      </c>
      <c r="B259" s="139" t="s">
        <v>700</v>
      </c>
      <c r="C259" s="139" t="s">
        <v>156</v>
      </c>
      <c r="D259" s="139" t="s">
        <v>157</v>
      </c>
      <c r="E259" s="139" t="s">
        <v>100</v>
      </c>
      <c r="F259" s="102">
        <v>0</v>
      </c>
      <c r="G259" s="101"/>
      <c r="H259" s="103"/>
    </row>
    <row r="260" spans="1:8">
      <c r="A260" s="139" t="s">
        <v>701</v>
      </c>
      <c r="B260" s="139" t="s">
        <v>702</v>
      </c>
      <c r="C260" s="139" t="s">
        <v>156</v>
      </c>
      <c r="D260" s="139" t="s">
        <v>162</v>
      </c>
      <c r="E260" s="139" t="s">
        <v>100</v>
      </c>
      <c r="F260" s="102">
        <v>-72465.789999999994</v>
      </c>
      <c r="G260" s="101"/>
      <c r="H260" s="103">
        <f t="shared" si="3"/>
        <v>-72465.789999999994</v>
      </c>
    </row>
    <row r="261" spans="1:8">
      <c r="A261" s="139" t="s">
        <v>703</v>
      </c>
      <c r="B261" s="139" t="s">
        <v>704</v>
      </c>
      <c r="C261" s="139" t="s">
        <v>156</v>
      </c>
      <c r="D261" s="139" t="s">
        <v>162</v>
      </c>
      <c r="E261" s="139" t="s">
        <v>100</v>
      </c>
      <c r="F261" s="102">
        <v>8237.4</v>
      </c>
      <c r="G261" s="101"/>
      <c r="H261" s="103">
        <f t="shared" si="3"/>
        <v>8237.4</v>
      </c>
    </row>
    <row r="262" spans="1:8">
      <c r="A262" s="139" t="s">
        <v>705</v>
      </c>
      <c r="B262" s="139" t="s">
        <v>664</v>
      </c>
      <c r="C262" s="139" t="s">
        <v>156</v>
      </c>
      <c r="D262" s="139" t="s">
        <v>162</v>
      </c>
      <c r="E262" s="139" t="s">
        <v>100</v>
      </c>
      <c r="F262" s="102">
        <v>18834</v>
      </c>
      <c r="G262" s="101"/>
      <c r="H262" s="103">
        <f t="shared" ref="H262:H325" si="4">SUM(F262:G262)</f>
        <v>18834</v>
      </c>
    </row>
    <row r="263" spans="1:8">
      <c r="A263" s="139" t="s">
        <v>706</v>
      </c>
      <c r="B263" s="139" t="s">
        <v>707</v>
      </c>
      <c r="C263" s="139" t="s">
        <v>156</v>
      </c>
      <c r="D263" s="139" t="s">
        <v>162</v>
      </c>
      <c r="E263" s="139" t="s">
        <v>100</v>
      </c>
      <c r="F263" s="102">
        <v>34881</v>
      </c>
      <c r="G263" s="101"/>
      <c r="H263" s="103">
        <f t="shared" si="4"/>
        <v>34881</v>
      </c>
    </row>
    <row r="264" spans="1:8">
      <c r="A264" s="139" t="s">
        <v>708</v>
      </c>
      <c r="B264" s="139" t="s">
        <v>709</v>
      </c>
      <c r="C264" s="139" t="s">
        <v>156</v>
      </c>
      <c r="D264" s="139" t="s">
        <v>162</v>
      </c>
      <c r="E264" s="139" t="s">
        <v>100</v>
      </c>
      <c r="F264" s="102">
        <v>4754.93</v>
      </c>
      <c r="G264" s="101"/>
      <c r="H264" s="103">
        <f t="shared" si="4"/>
        <v>4754.93</v>
      </c>
    </row>
    <row r="265" spans="1:8">
      <c r="A265" s="139" t="s">
        <v>710</v>
      </c>
      <c r="B265" s="139" t="s">
        <v>711</v>
      </c>
      <c r="C265" s="139" t="s">
        <v>156</v>
      </c>
      <c r="D265" s="139" t="s">
        <v>162</v>
      </c>
      <c r="E265" s="139" t="s">
        <v>100</v>
      </c>
      <c r="F265" s="102">
        <v>50519.73</v>
      </c>
      <c r="G265" s="101"/>
      <c r="H265" s="103">
        <f t="shared" si="4"/>
        <v>50519.73</v>
      </c>
    </row>
    <row r="266" spans="1:8">
      <c r="A266" s="139" t="s">
        <v>712</v>
      </c>
      <c r="B266" s="139" t="s">
        <v>713</v>
      </c>
      <c r="C266" s="139" t="s">
        <v>156</v>
      </c>
      <c r="D266" s="139" t="s">
        <v>169</v>
      </c>
      <c r="E266" s="139" t="s">
        <v>714</v>
      </c>
      <c r="F266" s="102">
        <v>44761.27</v>
      </c>
      <c r="G266" s="101"/>
      <c r="H266" s="103"/>
    </row>
    <row r="267" spans="1:8">
      <c r="A267" s="139" t="s">
        <v>715</v>
      </c>
      <c r="B267" s="139" t="s">
        <v>716</v>
      </c>
      <c r="C267" s="139" t="s">
        <v>156</v>
      </c>
      <c r="D267" s="139" t="s">
        <v>169</v>
      </c>
      <c r="E267" s="139" t="s">
        <v>717</v>
      </c>
      <c r="F267" s="102">
        <v>578732.73</v>
      </c>
      <c r="G267" s="101"/>
      <c r="H267" s="103"/>
    </row>
    <row r="268" spans="1:8">
      <c r="A268" s="139" t="s">
        <v>718</v>
      </c>
      <c r="B268" s="139" t="s">
        <v>719</v>
      </c>
      <c r="C268" s="139" t="s">
        <v>156</v>
      </c>
      <c r="D268" s="139" t="s">
        <v>157</v>
      </c>
      <c r="E268" s="139" t="s">
        <v>100</v>
      </c>
      <c r="F268" s="102">
        <v>0</v>
      </c>
      <c r="G268" s="101"/>
      <c r="H268" s="103"/>
    </row>
    <row r="269" spans="1:8">
      <c r="A269" s="139" t="s">
        <v>720</v>
      </c>
      <c r="B269" s="139" t="s">
        <v>721</v>
      </c>
      <c r="C269" s="139" t="s">
        <v>156</v>
      </c>
      <c r="D269" s="139" t="s">
        <v>157</v>
      </c>
      <c r="E269" s="139" t="s">
        <v>100</v>
      </c>
      <c r="F269" s="102">
        <v>0</v>
      </c>
      <c r="G269" s="101"/>
      <c r="H269" s="103"/>
    </row>
    <row r="270" spans="1:8">
      <c r="A270" s="139" t="s">
        <v>722</v>
      </c>
      <c r="B270" s="139" t="s">
        <v>723</v>
      </c>
      <c r="C270" s="139" t="s">
        <v>156</v>
      </c>
      <c r="D270" s="139" t="s">
        <v>162</v>
      </c>
      <c r="E270" s="139" t="s">
        <v>100</v>
      </c>
      <c r="F270" s="102">
        <v>-81806.009999999995</v>
      </c>
      <c r="G270" s="101">
        <v>-17000</v>
      </c>
      <c r="H270" s="114">
        <f t="shared" si="4"/>
        <v>-98806.01</v>
      </c>
    </row>
    <row r="271" spans="1:8">
      <c r="A271" s="139" t="s">
        <v>724</v>
      </c>
      <c r="B271" s="139" t="s">
        <v>725</v>
      </c>
      <c r="C271" s="139" t="s">
        <v>156</v>
      </c>
      <c r="D271" s="139" t="s">
        <v>162</v>
      </c>
      <c r="E271" s="139" t="s">
        <v>100</v>
      </c>
      <c r="F271" s="102">
        <v>-22750</v>
      </c>
      <c r="G271" s="101"/>
      <c r="H271" s="110">
        <f t="shared" si="4"/>
        <v>-22750</v>
      </c>
    </row>
    <row r="272" spans="1:8">
      <c r="A272" s="139" t="s">
        <v>726</v>
      </c>
      <c r="B272" s="139" t="s">
        <v>727</v>
      </c>
      <c r="C272" s="139" t="s">
        <v>156</v>
      </c>
      <c r="D272" s="139" t="s">
        <v>162</v>
      </c>
      <c r="E272" s="139" t="s">
        <v>100</v>
      </c>
      <c r="F272" s="102">
        <v>-81208</v>
      </c>
      <c r="G272" s="101"/>
      <c r="H272" s="110">
        <f t="shared" si="4"/>
        <v>-81208</v>
      </c>
    </row>
    <row r="273" spans="1:8">
      <c r="A273" s="139" t="s">
        <v>728</v>
      </c>
      <c r="B273" s="139" t="s">
        <v>729</v>
      </c>
      <c r="C273" s="139" t="s">
        <v>156</v>
      </c>
      <c r="D273" s="139" t="s">
        <v>162</v>
      </c>
      <c r="E273" s="139" t="s">
        <v>100</v>
      </c>
      <c r="F273" s="102">
        <v>192228.28</v>
      </c>
      <c r="G273" s="101"/>
      <c r="H273" s="110">
        <f t="shared" si="4"/>
        <v>192228.28</v>
      </c>
    </row>
    <row r="274" spans="1:8">
      <c r="A274" s="139" t="s">
        <v>730</v>
      </c>
      <c r="B274" s="139" t="s">
        <v>731</v>
      </c>
      <c r="C274" s="139" t="s">
        <v>156</v>
      </c>
      <c r="D274" s="139" t="s">
        <v>162</v>
      </c>
      <c r="E274" s="139" t="s">
        <v>100</v>
      </c>
      <c r="F274" s="102">
        <v>121.21</v>
      </c>
      <c r="G274" s="101">
        <v>-121.21</v>
      </c>
      <c r="H274" s="114">
        <f t="shared" si="4"/>
        <v>0</v>
      </c>
    </row>
    <row r="275" spans="1:8">
      <c r="A275" s="139" t="s">
        <v>732</v>
      </c>
      <c r="B275" s="139" t="s">
        <v>733</v>
      </c>
      <c r="C275" s="139" t="s">
        <v>156</v>
      </c>
      <c r="D275" s="139" t="s">
        <v>162</v>
      </c>
      <c r="E275" s="139" t="s">
        <v>100</v>
      </c>
      <c r="F275" s="102">
        <v>0</v>
      </c>
      <c r="G275" s="101"/>
      <c r="H275" s="114">
        <f t="shared" si="4"/>
        <v>0</v>
      </c>
    </row>
    <row r="276" spans="1:8">
      <c r="A276" s="139" t="s">
        <v>734</v>
      </c>
      <c r="B276" s="139" t="s">
        <v>735</v>
      </c>
      <c r="C276" s="139" t="s">
        <v>156</v>
      </c>
      <c r="D276" s="139" t="s">
        <v>162</v>
      </c>
      <c r="E276" s="139" t="s">
        <v>100</v>
      </c>
      <c r="F276" s="102">
        <v>0</v>
      </c>
      <c r="G276" s="101"/>
      <c r="H276" s="114">
        <f t="shared" si="4"/>
        <v>0</v>
      </c>
    </row>
    <row r="277" spans="1:8">
      <c r="A277" s="139" t="s">
        <v>736</v>
      </c>
      <c r="B277" s="139" t="s">
        <v>737</v>
      </c>
      <c r="C277" s="139" t="s">
        <v>156</v>
      </c>
      <c r="D277" s="139" t="s">
        <v>162</v>
      </c>
      <c r="E277" s="139" t="s">
        <v>100</v>
      </c>
      <c r="F277" s="102">
        <v>13087.25</v>
      </c>
      <c r="G277" s="101"/>
      <c r="H277" s="110">
        <f t="shared" si="4"/>
        <v>13087.25</v>
      </c>
    </row>
    <row r="278" spans="1:8">
      <c r="A278" s="139" t="s">
        <v>738</v>
      </c>
      <c r="B278" s="139" t="s">
        <v>739</v>
      </c>
      <c r="C278" s="139" t="s">
        <v>156</v>
      </c>
      <c r="D278" s="139" t="s">
        <v>162</v>
      </c>
      <c r="E278" s="139" t="s">
        <v>100</v>
      </c>
      <c r="F278" s="102">
        <v>8828.83</v>
      </c>
      <c r="G278" s="101"/>
      <c r="H278" s="110">
        <f t="shared" si="4"/>
        <v>8828.83</v>
      </c>
    </row>
    <row r="279" spans="1:8">
      <c r="A279" s="139" t="s">
        <v>740</v>
      </c>
      <c r="B279" s="139" t="s">
        <v>741</v>
      </c>
      <c r="C279" s="139" t="s">
        <v>156</v>
      </c>
      <c r="D279" s="139" t="s">
        <v>162</v>
      </c>
      <c r="E279" s="139" t="s">
        <v>100</v>
      </c>
      <c r="F279" s="102">
        <v>42243.47</v>
      </c>
      <c r="G279" s="101"/>
      <c r="H279" s="110">
        <f t="shared" si="4"/>
        <v>42243.47</v>
      </c>
    </row>
    <row r="280" spans="1:8">
      <c r="A280" s="139" t="s">
        <v>742</v>
      </c>
      <c r="B280" s="139" t="s">
        <v>743</v>
      </c>
      <c r="C280" s="139" t="s">
        <v>156</v>
      </c>
      <c r="D280" s="139" t="s">
        <v>162</v>
      </c>
      <c r="E280" s="139" t="s">
        <v>100</v>
      </c>
      <c r="F280" s="102">
        <v>2205.25</v>
      </c>
      <c r="G280" s="101"/>
      <c r="H280" s="110">
        <f t="shared" si="4"/>
        <v>2205.25</v>
      </c>
    </row>
    <row r="281" spans="1:8">
      <c r="A281" s="139" t="s">
        <v>744</v>
      </c>
      <c r="B281" s="139" t="s">
        <v>536</v>
      </c>
      <c r="C281" s="139" t="s">
        <v>156</v>
      </c>
      <c r="D281" s="139" t="s">
        <v>162</v>
      </c>
      <c r="E281" s="139" t="s">
        <v>100</v>
      </c>
      <c r="F281" s="102">
        <v>15277.49</v>
      </c>
      <c r="G281" s="101"/>
      <c r="H281" s="110">
        <f t="shared" si="4"/>
        <v>15277.49</v>
      </c>
    </row>
    <row r="282" spans="1:8">
      <c r="A282" s="139" t="s">
        <v>745</v>
      </c>
      <c r="B282" s="139" t="s">
        <v>2200</v>
      </c>
      <c r="C282" s="139" t="s">
        <v>156</v>
      </c>
      <c r="D282" s="139" t="s">
        <v>162</v>
      </c>
      <c r="E282" s="139" t="s">
        <v>100</v>
      </c>
      <c r="F282" s="102">
        <v>0</v>
      </c>
      <c r="G282" s="101"/>
      <c r="H282" s="114">
        <f t="shared" si="4"/>
        <v>0</v>
      </c>
    </row>
    <row r="283" spans="1:8">
      <c r="A283" s="139" t="s">
        <v>747</v>
      </c>
      <c r="B283" s="139" t="s">
        <v>748</v>
      </c>
      <c r="C283" s="139" t="s">
        <v>156</v>
      </c>
      <c r="D283" s="139" t="s">
        <v>162</v>
      </c>
      <c r="E283" s="139" t="s">
        <v>100</v>
      </c>
      <c r="F283" s="102">
        <v>102625</v>
      </c>
      <c r="G283" s="101"/>
      <c r="H283" s="110">
        <f t="shared" si="4"/>
        <v>102625</v>
      </c>
    </row>
    <row r="284" spans="1:8">
      <c r="A284" s="139" t="s">
        <v>749</v>
      </c>
      <c r="B284" s="139" t="s">
        <v>2201</v>
      </c>
      <c r="C284" s="139" t="s">
        <v>156</v>
      </c>
      <c r="D284" s="139" t="s">
        <v>162</v>
      </c>
      <c r="E284" s="139" t="s">
        <v>100</v>
      </c>
      <c r="F284" s="102">
        <v>29780</v>
      </c>
      <c r="G284" s="101"/>
      <c r="H284" s="110">
        <f t="shared" si="4"/>
        <v>29780</v>
      </c>
    </row>
    <row r="285" spans="1:8">
      <c r="A285" s="139" t="s">
        <v>751</v>
      </c>
      <c r="B285" s="139" t="s">
        <v>752</v>
      </c>
      <c r="C285" s="139" t="s">
        <v>156</v>
      </c>
      <c r="D285" s="139" t="s">
        <v>162</v>
      </c>
      <c r="E285" s="139" t="s">
        <v>100</v>
      </c>
      <c r="F285" s="102">
        <v>0</v>
      </c>
      <c r="G285" s="101">
        <f>23680.54+17000</f>
        <v>40680.54</v>
      </c>
      <c r="H285" s="114">
        <f t="shared" si="4"/>
        <v>40680.54</v>
      </c>
    </row>
    <row r="286" spans="1:8">
      <c r="A286" s="139" t="s">
        <v>753</v>
      </c>
      <c r="B286" s="139" t="s">
        <v>220</v>
      </c>
      <c r="C286" s="139" t="s">
        <v>156</v>
      </c>
      <c r="D286" s="139" t="s">
        <v>162</v>
      </c>
      <c r="E286" s="139" t="s">
        <v>100</v>
      </c>
      <c r="F286" s="102">
        <v>65904.759999999995</v>
      </c>
      <c r="G286" s="101">
        <v>-23680.54</v>
      </c>
      <c r="H286" s="114">
        <f t="shared" si="4"/>
        <v>42224.219999999994</v>
      </c>
    </row>
    <row r="287" spans="1:8">
      <c r="A287" s="139" t="s">
        <v>754</v>
      </c>
      <c r="B287" s="139" t="s">
        <v>755</v>
      </c>
      <c r="C287" s="139" t="s">
        <v>156</v>
      </c>
      <c r="D287" s="139" t="s">
        <v>162</v>
      </c>
      <c r="E287" s="139" t="s">
        <v>100</v>
      </c>
      <c r="F287" s="102">
        <v>4836.17</v>
      </c>
      <c r="G287" s="101"/>
      <c r="H287" s="114">
        <f t="shared" si="4"/>
        <v>4836.17</v>
      </c>
    </row>
    <row r="288" spans="1:8">
      <c r="A288" s="139" t="s">
        <v>756</v>
      </c>
      <c r="B288" s="139" t="s">
        <v>757</v>
      </c>
      <c r="C288" s="139" t="s">
        <v>156</v>
      </c>
      <c r="D288" s="139" t="s">
        <v>162</v>
      </c>
      <c r="E288" s="139" t="s">
        <v>100</v>
      </c>
      <c r="F288" s="102">
        <v>0</v>
      </c>
      <c r="G288" s="101"/>
      <c r="H288" s="103">
        <f t="shared" si="4"/>
        <v>0</v>
      </c>
    </row>
    <row r="289" spans="1:8">
      <c r="A289" s="139" t="s">
        <v>758</v>
      </c>
      <c r="B289" s="139" t="s">
        <v>759</v>
      </c>
      <c r="C289" s="139" t="s">
        <v>156</v>
      </c>
      <c r="D289" s="139" t="s">
        <v>169</v>
      </c>
      <c r="E289" s="139" t="s">
        <v>760</v>
      </c>
      <c r="F289" s="102">
        <v>291373.7</v>
      </c>
      <c r="G289" s="101"/>
      <c r="H289" s="103"/>
    </row>
    <row r="290" spans="1:8">
      <c r="A290" s="139" t="s">
        <v>761</v>
      </c>
      <c r="B290" s="139" t="s">
        <v>762</v>
      </c>
      <c r="C290" s="139" t="s">
        <v>156</v>
      </c>
      <c r="D290" s="139" t="s">
        <v>157</v>
      </c>
      <c r="E290" s="139" t="s">
        <v>100</v>
      </c>
      <c r="F290" s="102">
        <v>0</v>
      </c>
      <c r="G290" s="101"/>
      <c r="H290" s="103"/>
    </row>
    <row r="291" spans="1:8">
      <c r="A291" s="139" t="s">
        <v>763</v>
      </c>
      <c r="B291" s="139" t="s">
        <v>764</v>
      </c>
      <c r="C291" s="139" t="s">
        <v>156</v>
      </c>
      <c r="D291" s="139" t="s">
        <v>162</v>
      </c>
      <c r="E291" s="139" t="s">
        <v>100</v>
      </c>
      <c r="F291" s="102">
        <v>245322.98</v>
      </c>
      <c r="G291" s="101"/>
      <c r="H291" s="103">
        <f t="shared" si="4"/>
        <v>245322.98</v>
      </c>
    </row>
    <row r="292" spans="1:8">
      <c r="A292" s="139" t="s">
        <v>765</v>
      </c>
      <c r="B292" s="139" t="s">
        <v>766</v>
      </c>
      <c r="C292" s="139" t="s">
        <v>156</v>
      </c>
      <c r="D292" s="139" t="s">
        <v>162</v>
      </c>
      <c r="E292" s="139" t="s">
        <v>100</v>
      </c>
      <c r="F292" s="102">
        <v>0</v>
      </c>
      <c r="G292" s="101"/>
      <c r="H292" s="103">
        <f t="shared" si="4"/>
        <v>0</v>
      </c>
    </row>
    <row r="293" spans="1:8">
      <c r="A293" s="139" t="s">
        <v>767</v>
      </c>
      <c r="B293" s="139" t="s">
        <v>768</v>
      </c>
      <c r="C293" s="139" t="s">
        <v>156</v>
      </c>
      <c r="D293" s="139" t="s">
        <v>162</v>
      </c>
      <c r="E293" s="139" t="s">
        <v>100</v>
      </c>
      <c r="F293" s="102">
        <v>104449.74</v>
      </c>
      <c r="G293" s="101"/>
      <c r="H293" s="103">
        <f t="shared" si="4"/>
        <v>104449.74</v>
      </c>
    </row>
    <row r="294" spans="1:8">
      <c r="A294" s="139" t="s">
        <v>769</v>
      </c>
      <c r="B294" s="139" t="s">
        <v>770</v>
      </c>
      <c r="C294" s="139" t="s">
        <v>156</v>
      </c>
      <c r="D294" s="139" t="s">
        <v>162</v>
      </c>
      <c r="E294" s="139" t="s">
        <v>100</v>
      </c>
      <c r="F294" s="102">
        <v>4267.8500000000004</v>
      </c>
      <c r="G294" s="101"/>
      <c r="H294" s="103">
        <f t="shared" si="4"/>
        <v>4267.8500000000004</v>
      </c>
    </row>
    <row r="295" spans="1:8">
      <c r="A295" s="139" t="s">
        <v>771</v>
      </c>
      <c r="B295" s="139" t="s">
        <v>772</v>
      </c>
      <c r="C295" s="139" t="s">
        <v>156</v>
      </c>
      <c r="D295" s="139" t="s">
        <v>162</v>
      </c>
      <c r="E295" s="139" t="s">
        <v>100</v>
      </c>
      <c r="F295" s="102">
        <v>-5044.25</v>
      </c>
      <c r="G295" s="101"/>
      <c r="H295" s="103">
        <f t="shared" si="4"/>
        <v>-5044.25</v>
      </c>
    </row>
    <row r="296" spans="1:8">
      <c r="A296" s="139" t="s">
        <v>773</v>
      </c>
      <c r="B296" s="139" t="s">
        <v>774</v>
      </c>
      <c r="C296" s="139" t="s">
        <v>156</v>
      </c>
      <c r="D296" s="139" t="s">
        <v>162</v>
      </c>
      <c r="E296" s="139" t="s">
        <v>100</v>
      </c>
      <c r="F296" s="102">
        <v>-21329.68</v>
      </c>
      <c r="G296" s="101"/>
      <c r="H296" s="103">
        <f t="shared" si="4"/>
        <v>-21329.68</v>
      </c>
    </row>
    <row r="297" spans="1:8">
      <c r="A297" s="139" t="s">
        <v>775</v>
      </c>
      <c r="B297" s="139" t="s">
        <v>776</v>
      </c>
      <c r="C297" s="139" t="s">
        <v>156</v>
      </c>
      <c r="D297" s="139" t="s">
        <v>169</v>
      </c>
      <c r="E297" s="139" t="s">
        <v>777</v>
      </c>
      <c r="F297" s="102">
        <v>327666.64</v>
      </c>
      <c r="G297" s="101"/>
      <c r="H297" s="103"/>
    </row>
    <row r="298" spans="1:8">
      <c r="A298" s="139" t="s">
        <v>778</v>
      </c>
      <c r="B298" s="139" t="s">
        <v>779</v>
      </c>
      <c r="C298" s="139" t="s">
        <v>156</v>
      </c>
      <c r="D298" s="139" t="s">
        <v>157</v>
      </c>
      <c r="E298" s="139" t="s">
        <v>100</v>
      </c>
      <c r="F298" s="102">
        <v>0</v>
      </c>
      <c r="G298" s="101"/>
      <c r="H298" s="103"/>
    </row>
    <row r="299" spans="1:8">
      <c r="A299" s="139" t="s">
        <v>780</v>
      </c>
      <c r="B299" s="139" t="s">
        <v>781</v>
      </c>
      <c r="C299" s="139" t="s">
        <v>156</v>
      </c>
      <c r="D299" s="139" t="s">
        <v>162</v>
      </c>
      <c r="E299" s="139" t="s">
        <v>100</v>
      </c>
      <c r="F299" s="102">
        <v>139571.1</v>
      </c>
      <c r="G299" s="101"/>
      <c r="H299" s="103">
        <f t="shared" si="4"/>
        <v>139571.1</v>
      </c>
    </row>
    <row r="300" spans="1:8">
      <c r="A300" s="139" t="s">
        <v>782</v>
      </c>
      <c r="B300" s="139" t="s">
        <v>446</v>
      </c>
      <c r="C300" s="139" t="s">
        <v>156</v>
      </c>
      <c r="D300" s="139" t="s">
        <v>162</v>
      </c>
      <c r="E300" s="139" t="s">
        <v>100</v>
      </c>
      <c r="F300" s="102">
        <v>67128.63</v>
      </c>
      <c r="G300" s="101"/>
      <c r="H300" s="103">
        <f t="shared" si="4"/>
        <v>67128.63</v>
      </c>
    </row>
    <row r="301" spans="1:8">
      <c r="A301" s="139" t="s">
        <v>783</v>
      </c>
      <c r="B301" s="139" t="s">
        <v>784</v>
      </c>
      <c r="C301" s="139" t="s">
        <v>156</v>
      </c>
      <c r="D301" s="139" t="s">
        <v>162</v>
      </c>
      <c r="E301" s="139" t="s">
        <v>100</v>
      </c>
      <c r="F301" s="102">
        <v>0</v>
      </c>
      <c r="G301" s="101"/>
      <c r="H301" s="103">
        <f t="shared" si="4"/>
        <v>0</v>
      </c>
    </row>
    <row r="302" spans="1:8">
      <c r="A302" s="139" t="s">
        <v>785</v>
      </c>
      <c r="B302" s="139" t="s">
        <v>786</v>
      </c>
      <c r="C302" s="139" t="s">
        <v>156</v>
      </c>
      <c r="D302" s="139" t="s">
        <v>169</v>
      </c>
      <c r="E302" s="139" t="s">
        <v>787</v>
      </c>
      <c r="F302" s="102">
        <v>206699.73</v>
      </c>
      <c r="G302" s="101"/>
      <c r="H302" s="103"/>
    </row>
    <row r="303" spans="1:8">
      <c r="A303" s="139" t="s">
        <v>788</v>
      </c>
      <c r="B303" s="139" t="s">
        <v>789</v>
      </c>
      <c r="C303" s="139" t="s">
        <v>156</v>
      </c>
      <c r="D303" s="139" t="s">
        <v>157</v>
      </c>
      <c r="E303" s="139" t="s">
        <v>100</v>
      </c>
      <c r="F303" s="102">
        <v>0</v>
      </c>
      <c r="G303" s="101"/>
      <c r="H303" s="103"/>
    </row>
    <row r="304" spans="1:8">
      <c r="A304" s="139" t="s">
        <v>790</v>
      </c>
      <c r="B304" s="139" t="s">
        <v>733</v>
      </c>
      <c r="C304" s="139" t="s">
        <v>156</v>
      </c>
      <c r="D304" s="139" t="s">
        <v>157</v>
      </c>
      <c r="E304" s="139" t="s">
        <v>100</v>
      </c>
      <c r="F304" s="102">
        <v>0</v>
      </c>
      <c r="G304" s="101"/>
      <c r="H304" s="103"/>
    </row>
    <row r="305" spans="1:8">
      <c r="A305" s="139" t="s">
        <v>791</v>
      </c>
      <c r="B305" s="139" t="s">
        <v>792</v>
      </c>
      <c r="C305" s="139" t="s">
        <v>156</v>
      </c>
      <c r="D305" s="139" t="s">
        <v>162</v>
      </c>
      <c r="E305" s="139" t="s">
        <v>100</v>
      </c>
      <c r="F305" s="102">
        <v>10478.81</v>
      </c>
      <c r="G305" s="101">
        <v>121.21</v>
      </c>
      <c r="H305" s="103">
        <f t="shared" si="4"/>
        <v>10600.019999999999</v>
      </c>
    </row>
    <row r="306" spans="1:8">
      <c r="A306" s="139" t="s">
        <v>793</v>
      </c>
      <c r="B306" s="139" t="s">
        <v>794</v>
      </c>
      <c r="C306" s="139" t="s">
        <v>156</v>
      </c>
      <c r="D306" s="139" t="s">
        <v>162</v>
      </c>
      <c r="E306" s="139" t="s">
        <v>100</v>
      </c>
      <c r="F306" s="102">
        <v>122458.87</v>
      </c>
      <c r="G306" s="101"/>
      <c r="H306" s="103">
        <f t="shared" si="4"/>
        <v>122458.87</v>
      </c>
    </row>
    <row r="307" spans="1:8">
      <c r="A307" s="139" t="s">
        <v>795</v>
      </c>
      <c r="B307" s="139" t="s">
        <v>796</v>
      </c>
      <c r="C307" s="139" t="s">
        <v>156</v>
      </c>
      <c r="D307" s="139" t="s">
        <v>162</v>
      </c>
      <c r="E307" s="139" t="s">
        <v>100</v>
      </c>
      <c r="F307" s="102">
        <v>256290.29</v>
      </c>
      <c r="G307" s="101"/>
      <c r="H307" s="103">
        <f t="shared" si="4"/>
        <v>256290.29</v>
      </c>
    </row>
    <row r="308" spans="1:8">
      <c r="A308" s="139" t="s">
        <v>797</v>
      </c>
      <c r="B308" s="139" t="s">
        <v>798</v>
      </c>
      <c r="C308" s="139" t="s">
        <v>156</v>
      </c>
      <c r="D308" s="139" t="s">
        <v>162</v>
      </c>
      <c r="E308" s="139" t="s">
        <v>100</v>
      </c>
      <c r="F308" s="102">
        <v>71226.55</v>
      </c>
      <c r="G308" s="101"/>
      <c r="H308" s="103">
        <f t="shared" si="4"/>
        <v>71226.55</v>
      </c>
    </row>
    <row r="309" spans="1:8">
      <c r="A309" s="139" t="s">
        <v>799</v>
      </c>
      <c r="B309" s="139" t="s">
        <v>800</v>
      </c>
      <c r="C309" s="139" t="s">
        <v>156</v>
      </c>
      <c r="D309" s="139" t="s">
        <v>162</v>
      </c>
      <c r="E309" s="139" t="s">
        <v>100</v>
      </c>
      <c r="F309" s="102">
        <v>86959.37</v>
      </c>
      <c r="G309" s="101"/>
      <c r="H309" s="103">
        <f t="shared" si="4"/>
        <v>86959.37</v>
      </c>
    </row>
    <row r="310" spans="1:8">
      <c r="A310" s="139" t="s">
        <v>801</v>
      </c>
      <c r="B310" s="139" t="s">
        <v>802</v>
      </c>
      <c r="C310" s="139" t="s">
        <v>156</v>
      </c>
      <c r="D310" s="139" t="s">
        <v>162</v>
      </c>
      <c r="E310" s="139" t="s">
        <v>100</v>
      </c>
      <c r="F310" s="102">
        <v>41806.21</v>
      </c>
      <c r="G310" s="101"/>
      <c r="H310" s="103">
        <f t="shared" si="4"/>
        <v>41806.21</v>
      </c>
    </row>
    <row r="311" spans="1:8">
      <c r="A311" s="139" t="s">
        <v>803</v>
      </c>
      <c r="B311" s="139" t="s">
        <v>804</v>
      </c>
      <c r="C311" s="139" t="s">
        <v>156</v>
      </c>
      <c r="D311" s="139" t="s">
        <v>162</v>
      </c>
      <c r="E311" s="139" t="s">
        <v>100</v>
      </c>
      <c r="F311" s="102">
        <v>403420</v>
      </c>
      <c r="G311" s="101"/>
      <c r="H311" s="103">
        <f t="shared" si="4"/>
        <v>403420</v>
      </c>
    </row>
    <row r="312" spans="1:8">
      <c r="A312" s="139" t="s">
        <v>805</v>
      </c>
      <c r="B312" s="139" t="s">
        <v>806</v>
      </c>
      <c r="C312" s="139" t="s">
        <v>156</v>
      </c>
      <c r="D312" s="139" t="s">
        <v>169</v>
      </c>
      <c r="E312" s="139" t="s">
        <v>807</v>
      </c>
      <c r="F312" s="102">
        <v>992640.1</v>
      </c>
      <c r="G312" s="101"/>
      <c r="H312" s="103"/>
    </row>
    <row r="313" spans="1:8">
      <c r="A313" s="139" t="s">
        <v>808</v>
      </c>
      <c r="B313" s="139" t="s">
        <v>735</v>
      </c>
      <c r="C313" s="139" t="s">
        <v>156</v>
      </c>
      <c r="D313" s="139" t="s">
        <v>157</v>
      </c>
      <c r="E313" s="139" t="s">
        <v>100</v>
      </c>
      <c r="F313" s="102">
        <v>0</v>
      </c>
      <c r="G313" s="101"/>
      <c r="H313" s="103"/>
    </row>
    <row r="314" spans="1:8">
      <c r="A314" s="139" t="s">
        <v>809</v>
      </c>
      <c r="B314" s="139" t="s">
        <v>735</v>
      </c>
      <c r="C314" s="139" t="s">
        <v>156</v>
      </c>
      <c r="D314" s="139" t="s">
        <v>162</v>
      </c>
      <c r="E314" s="139" t="s">
        <v>100</v>
      </c>
      <c r="F314" s="102">
        <v>113179.81</v>
      </c>
      <c r="G314" s="101"/>
      <c r="H314" s="103">
        <f t="shared" si="4"/>
        <v>113179.81</v>
      </c>
    </row>
    <row r="315" spans="1:8">
      <c r="A315" s="139" t="s">
        <v>810</v>
      </c>
      <c r="B315" s="139" t="s">
        <v>811</v>
      </c>
      <c r="C315" s="139" t="s">
        <v>156</v>
      </c>
      <c r="D315" s="139" t="s">
        <v>169</v>
      </c>
      <c r="E315" s="139" t="s">
        <v>812</v>
      </c>
      <c r="F315" s="102">
        <v>113179.81</v>
      </c>
      <c r="G315" s="101"/>
      <c r="H315" s="103"/>
    </row>
    <row r="316" spans="1:8">
      <c r="A316" s="139" t="s">
        <v>813</v>
      </c>
      <c r="B316" s="139" t="s">
        <v>814</v>
      </c>
      <c r="C316" s="139" t="s">
        <v>156</v>
      </c>
      <c r="D316" s="139" t="s">
        <v>169</v>
      </c>
      <c r="E316" s="139" t="s">
        <v>815</v>
      </c>
      <c r="F316" s="102">
        <v>1105819.9099999999</v>
      </c>
      <c r="G316" s="101"/>
      <c r="H316" s="103"/>
    </row>
    <row r="317" spans="1:8">
      <c r="A317" s="139" t="s">
        <v>816</v>
      </c>
      <c r="B317" s="139" t="s">
        <v>817</v>
      </c>
      <c r="C317" s="139" t="s">
        <v>156</v>
      </c>
      <c r="D317" s="139" t="s">
        <v>157</v>
      </c>
      <c r="E317" s="139" t="s">
        <v>100</v>
      </c>
      <c r="F317" s="102">
        <v>0</v>
      </c>
      <c r="G317" s="101"/>
      <c r="H317" s="103"/>
    </row>
    <row r="318" spans="1:8">
      <c r="A318" s="139" t="s">
        <v>818</v>
      </c>
      <c r="B318" s="139" t="s">
        <v>819</v>
      </c>
      <c r="C318" s="139" t="s">
        <v>156</v>
      </c>
      <c r="D318" s="139" t="s">
        <v>162</v>
      </c>
      <c r="E318" s="139" t="s">
        <v>100</v>
      </c>
      <c r="F318" s="102">
        <v>75000</v>
      </c>
      <c r="G318" s="101"/>
      <c r="H318" s="103">
        <f t="shared" si="4"/>
        <v>75000</v>
      </c>
    </row>
    <row r="319" spans="1:8">
      <c r="A319" s="139" t="s">
        <v>820</v>
      </c>
      <c r="B319" s="139" t="s">
        <v>821</v>
      </c>
      <c r="C319" s="139" t="s">
        <v>156</v>
      </c>
      <c r="D319" s="139" t="s">
        <v>169</v>
      </c>
      <c r="E319" s="139" t="s">
        <v>822</v>
      </c>
      <c r="F319" s="102">
        <v>75000</v>
      </c>
      <c r="G319" s="101"/>
      <c r="H319" s="103"/>
    </row>
    <row r="320" spans="1:8">
      <c r="A320" s="139" t="s">
        <v>823</v>
      </c>
      <c r="B320" s="139" t="s">
        <v>824</v>
      </c>
      <c r="C320" s="139" t="s">
        <v>156</v>
      </c>
      <c r="D320" s="139" t="s">
        <v>157</v>
      </c>
      <c r="E320" s="139" t="s">
        <v>100</v>
      </c>
      <c r="F320" s="102">
        <v>0</v>
      </c>
      <c r="G320" s="101"/>
      <c r="H320" s="103"/>
    </row>
    <row r="321" spans="1:8">
      <c r="A321" s="139" t="s">
        <v>825</v>
      </c>
      <c r="B321" s="139" t="s">
        <v>826</v>
      </c>
      <c r="C321" s="139" t="s">
        <v>156</v>
      </c>
      <c r="D321" s="139" t="s">
        <v>162</v>
      </c>
      <c r="E321" s="139" t="s">
        <v>100</v>
      </c>
      <c r="F321" s="102">
        <v>37555.760000000002</v>
      </c>
      <c r="G321" s="101"/>
      <c r="H321" s="103">
        <f t="shared" si="4"/>
        <v>37555.760000000002</v>
      </c>
    </row>
    <row r="322" spans="1:8">
      <c r="A322" s="139" t="s">
        <v>827</v>
      </c>
      <c r="B322" s="139" t="s">
        <v>828</v>
      </c>
      <c r="C322" s="139" t="s">
        <v>156</v>
      </c>
      <c r="D322" s="139" t="s">
        <v>169</v>
      </c>
      <c r="E322" s="139" t="s">
        <v>829</v>
      </c>
      <c r="F322" s="102">
        <v>37555.760000000002</v>
      </c>
      <c r="G322" s="101"/>
      <c r="H322" s="103"/>
    </row>
    <row r="323" spans="1:8">
      <c r="A323" s="139" t="s">
        <v>830</v>
      </c>
      <c r="B323" s="139" t="s">
        <v>831</v>
      </c>
      <c r="C323" s="139" t="s">
        <v>156</v>
      </c>
      <c r="D323" s="139" t="s">
        <v>169</v>
      </c>
      <c r="E323" s="139" t="s">
        <v>832</v>
      </c>
      <c r="F323" s="102">
        <v>2044115.74</v>
      </c>
      <c r="G323" s="101"/>
      <c r="H323" s="103"/>
    </row>
    <row r="324" spans="1:8">
      <c r="A324" s="139" t="s">
        <v>833</v>
      </c>
      <c r="B324" s="139" t="s">
        <v>97</v>
      </c>
      <c r="C324" s="139" t="s">
        <v>156</v>
      </c>
      <c r="D324" s="139" t="s">
        <v>157</v>
      </c>
      <c r="E324" s="139" t="s">
        <v>100</v>
      </c>
      <c r="F324" s="102">
        <v>0</v>
      </c>
      <c r="G324" s="101"/>
      <c r="H324" s="103"/>
    </row>
    <row r="325" spans="1:8">
      <c r="A325" s="139" t="s">
        <v>834</v>
      </c>
      <c r="B325" s="139" t="s">
        <v>835</v>
      </c>
      <c r="C325" s="139" t="s">
        <v>156</v>
      </c>
      <c r="D325" s="139" t="s">
        <v>162</v>
      </c>
      <c r="E325" s="139" t="s">
        <v>100</v>
      </c>
      <c r="F325" s="102">
        <v>376.28</v>
      </c>
      <c r="G325" s="101"/>
      <c r="H325" s="103">
        <f t="shared" si="4"/>
        <v>376.28</v>
      </c>
    </row>
    <row r="326" spans="1:8">
      <c r="A326" s="139" t="s">
        <v>836</v>
      </c>
      <c r="B326" s="139" t="s">
        <v>837</v>
      </c>
      <c r="C326" s="139" t="s">
        <v>156</v>
      </c>
      <c r="D326" s="139" t="s">
        <v>162</v>
      </c>
      <c r="E326" s="139" t="s">
        <v>100</v>
      </c>
      <c r="F326" s="102">
        <v>27798.57</v>
      </c>
      <c r="G326" s="101"/>
      <c r="H326" s="103">
        <f t="shared" ref="H326:H336" si="5">SUM(F326:G326)</f>
        <v>27798.57</v>
      </c>
    </row>
    <row r="327" spans="1:8">
      <c r="A327" s="139" t="s">
        <v>838</v>
      </c>
      <c r="B327" s="139" t="s">
        <v>839</v>
      </c>
      <c r="C327" s="139" t="s">
        <v>156</v>
      </c>
      <c r="D327" s="139" t="s">
        <v>169</v>
      </c>
      <c r="E327" s="139" t="s">
        <v>840</v>
      </c>
      <c r="F327" s="102">
        <v>28174.85</v>
      </c>
      <c r="G327" s="101"/>
      <c r="H327" s="103"/>
    </row>
    <row r="328" spans="1:8">
      <c r="A328" s="139" t="s">
        <v>841</v>
      </c>
      <c r="B328" s="139" t="s">
        <v>842</v>
      </c>
      <c r="C328" s="139" t="s">
        <v>156</v>
      </c>
      <c r="D328" s="139" t="s">
        <v>169</v>
      </c>
      <c r="E328" s="139" t="s">
        <v>843</v>
      </c>
      <c r="F328" s="102">
        <v>17445422.609999999</v>
      </c>
      <c r="G328" s="101"/>
      <c r="H328" s="103"/>
    </row>
    <row r="329" spans="1:8">
      <c r="A329" s="139" t="s">
        <v>844</v>
      </c>
      <c r="B329" s="139" t="s">
        <v>845</v>
      </c>
      <c r="C329" s="139" t="s">
        <v>156</v>
      </c>
      <c r="D329" s="139" t="s">
        <v>157</v>
      </c>
      <c r="E329" s="139" t="s">
        <v>100</v>
      </c>
      <c r="F329" s="102">
        <v>0</v>
      </c>
      <c r="G329" s="101"/>
      <c r="H329" s="103"/>
    </row>
    <row r="330" spans="1:8">
      <c r="A330" s="139" t="s">
        <v>846</v>
      </c>
      <c r="B330" s="139" t="s">
        <v>847</v>
      </c>
      <c r="C330" s="139" t="s">
        <v>156</v>
      </c>
      <c r="D330" s="139" t="s">
        <v>162</v>
      </c>
      <c r="E330" s="139" t="s">
        <v>100</v>
      </c>
      <c r="F330" s="102">
        <v>72648.820000000007</v>
      </c>
      <c r="G330" s="101"/>
      <c r="H330" s="103">
        <f t="shared" si="5"/>
        <v>72648.820000000007</v>
      </c>
    </row>
    <row r="331" spans="1:8">
      <c r="A331" s="139" t="s">
        <v>848</v>
      </c>
      <c r="B331" s="139" t="s">
        <v>849</v>
      </c>
      <c r="C331" s="139" t="s">
        <v>156</v>
      </c>
      <c r="D331" s="139" t="s">
        <v>162</v>
      </c>
      <c r="E331" s="139" t="s">
        <v>100</v>
      </c>
      <c r="F331" s="102">
        <v>0</v>
      </c>
      <c r="G331" s="101"/>
      <c r="H331" s="103">
        <f t="shared" si="5"/>
        <v>0</v>
      </c>
    </row>
    <row r="332" spans="1:8">
      <c r="A332" s="139" t="s">
        <v>850</v>
      </c>
      <c r="B332" s="139" t="s">
        <v>851</v>
      </c>
      <c r="C332" s="139" t="s">
        <v>156</v>
      </c>
      <c r="D332" s="139" t="s">
        <v>169</v>
      </c>
      <c r="E332" s="139" t="s">
        <v>852</v>
      </c>
      <c r="F332" s="102">
        <v>72648.820000000007</v>
      </c>
      <c r="G332" s="101"/>
      <c r="H332" s="103"/>
    </row>
    <row r="333" spans="1:8">
      <c r="A333" s="139" t="s">
        <v>853</v>
      </c>
      <c r="B333" s="139" t="s">
        <v>854</v>
      </c>
      <c r="C333" s="139" t="s">
        <v>156</v>
      </c>
      <c r="D333" s="139" t="s">
        <v>157</v>
      </c>
      <c r="E333" s="139" t="s">
        <v>100</v>
      </c>
      <c r="F333" s="102">
        <v>0</v>
      </c>
      <c r="G333" s="101"/>
      <c r="H333" s="103"/>
    </row>
    <row r="334" spans="1:8">
      <c r="A334" s="139" t="s">
        <v>855</v>
      </c>
      <c r="B334" s="139" t="s">
        <v>856</v>
      </c>
      <c r="C334" s="139" t="s">
        <v>156</v>
      </c>
      <c r="D334" s="139" t="s">
        <v>162</v>
      </c>
      <c r="E334" s="139" t="s">
        <v>100</v>
      </c>
      <c r="F334" s="102">
        <v>0</v>
      </c>
      <c r="G334" s="101"/>
      <c r="H334" s="103">
        <f t="shared" si="5"/>
        <v>0</v>
      </c>
    </row>
    <row r="335" spans="1:8">
      <c r="A335" s="139" t="s">
        <v>857</v>
      </c>
      <c r="B335" s="139" t="s">
        <v>2170</v>
      </c>
      <c r="C335" s="139" t="s">
        <v>156</v>
      </c>
      <c r="D335" s="139" t="s">
        <v>162</v>
      </c>
      <c r="E335" s="139" t="s">
        <v>100</v>
      </c>
      <c r="F335" s="102">
        <v>0</v>
      </c>
      <c r="G335" s="101"/>
      <c r="H335" s="103">
        <f t="shared" si="5"/>
        <v>0</v>
      </c>
    </row>
    <row r="336" spans="1:8">
      <c r="A336" s="139" t="s">
        <v>859</v>
      </c>
      <c r="B336" s="139" t="s">
        <v>860</v>
      </c>
      <c r="C336" s="139" t="s">
        <v>156</v>
      </c>
      <c r="D336" s="139" t="s">
        <v>162</v>
      </c>
      <c r="E336" s="139" t="s">
        <v>100</v>
      </c>
      <c r="F336" s="102">
        <v>0</v>
      </c>
      <c r="G336" s="101"/>
      <c r="H336" s="103">
        <f t="shared" si="5"/>
        <v>0</v>
      </c>
    </row>
    <row r="337" spans="1:10">
      <c r="A337" s="139" t="s">
        <v>861</v>
      </c>
      <c r="B337" s="139" t="s">
        <v>862</v>
      </c>
      <c r="C337" s="139" t="s">
        <v>156</v>
      </c>
      <c r="D337" s="139" t="s">
        <v>598</v>
      </c>
      <c r="E337" s="139" t="s">
        <v>863</v>
      </c>
      <c r="F337" s="102">
        <v>72648.820000000007</v>
      </c>
      <c r="G337" s="101"/>
      <c r="H337" s="103"/>
    </row>
    <row r="338" spans="1:10">
      <c r="A338" s="139" t="s">
        <v>864</v>
      </c>
      <c r="B338" s="139" t="s">
        <v>865</v>
      </c>
      <c r="C338" s="139" t="s">
        <v>156</v>
      </c>
      <c r="D338" s="139" t="s">
        <v>598</v>
      </c>
      <c r="E338" s="139" t="s">
        <v>866</v>
      </c>
      <c r="F338" s="102">
        <v>17518071.43</v>
      </c>
      <c r="G338" s="101"/>
      <c r="H338" s="103"/>
    </row>
    <row r="339" spans="1:10">
      <c r="A339" s="139" t="s">
        <v>867</v>
      </c>
      <c r="B339" s="139" t="s">
        <v>868</v>
      </c>
      <c r="C339" s="139" t="s">
        <v>156</v>
      </c>
      <c r="D339" s="139" t="s">
        <v>598</v>
      </c>
      <c r="E339" s="139" t="s">
        <v>869</v>
      </c>
      <c r="F339" s="102">
        <v>268871.07</v>
      </c>
      <c r="G339" s="101"/>
      <c r="H339" s="103"/>
    </row>
    <row r="340" spans="1:10">
      <c r="A340" s="271" t="s">
        <v>867</v>
      </c>
      <c r="B340" s="271" t="s">
        <v>868</v>
      </c>
      <c r="C340" s="271" t="s">
        <v>156</v>
      </c>
      <c r="D340" s="271" t="s">
        <v>598</v>
      </c>
      <c r="E340" s="271" t="s">
        <v>869</v>
      </c>
      <c r="F340" s="272">
        <v>268870.96999999997</v>
      </c>
      <c r="G340" s="272"/>
      <c r="H340" s="271"/>
      <c r="J340" s="1">
        <f>SUM(G3:G339)</f>
        <v>-870129.42</v>
      </c>
    </row>
    <row r="341" spans="1:10">
      <c r="A341" s="271" t="s">
        <v>870</v>
      </c>
      <c r="B341" s="271" t="s">
        <v>871</v>
      </c>
      <c r="C341" s="271" t="s">
        <v>872</v>
      </c>
      <c r="D341" s="271" t="s">
        <v>157</v>
      </c>
      <c r="E341" s="271" t="s">
        <v>100</v>
      </c>
      <c r="F341" s="106">
        <v>0</v>
      </c>
      <c r="G341" s="105"/>
      <c r="H341" s="107"/>
    </row>
    <row r="342" spans="1:10">
      <c r="A342" s="271" t="s">
        <v>873</v>
      </c>
      <c r="B342" s="271" t="s">
        <v>874</v>
      </c>
      <c r="C342" s="271" t="s">
        <v>872</v>
      </c>
      <c r="D342" s="271" t="s">
        <v>157</v>
      </c>
      <c r="E342" s="271" t="s">
        <v>100</v>
      </c>
      <c r="F342" s="106">
        <v>0</v>
      </c>
      <c r="G342" s="105"/>
      <c r="H342" s="107"/>
    </row>
    <row r="343" spans="1:10">
      <c r="A343" s="271" t="s">
        <v>875</v>
      </c>
      <c r="B343" s="271" t="s">
        <v>876</v>
      </c>
      <c r="C343" s="271" t="s">
        <v>872</v>
      </c>
      <c r="D343" s="271" t="s">
        <v>157</v>
      </c>
      <c r="E343" s="271" t="s">
        <v>100</v>
      </c>
      <c r="F343" s="106">
        <v>0</v>
      </c>
      <c r="G343" s="105"/>
      <c r="H343" s="107"/>
    </row>
    <row r="344" spans="1:10">
      <c r="A344" s="271" t="s">
        <v>877</v>
      </c>
      <c r="B344" s="271" t="s">
        <v>878</v>
      </c>
      <c r="C344" s="271" t="s">
        <v>872</v>
      </c>
      <c r="D344" s="271" t="s">
        <v>162</v>
      </c>
      <c r="E344" s="271" t="s">
        <v>100</v>
      </c>
      <c r="F344" s="106">
        <v>28500000</v>
      </c>
      <c r="G344" s="105"/>
      <c r="H344" s="108">
        <f>SUM(F344:G344)</f>
        <v>28500000</v>
      </c>
    </row>
    <row r="345" spans="1:10">
      <c r="A345" s="271" t="s">
        <v>879</v>
      </c>
      <c r="B345" s="271" t="s">
        <v>880</v>
      </c>
      <c r="C345" s="271" t="s">
        <v>872</v>
      </c>
      <c r="D345" s="271" t="s">
        <v>162</v>
      </c>
      <c r="E345" s="271" t="s">
        <v>100</v>
      </c>
      <c r="F345" s="106">
        <v>22107400</v>
      </c>
      <c r="G345" s="105"/>
      <c r="H345" s="108">
        <f t="shared" ref="H345:H402" si="6">SUM(F345:G345)</f>
        <v>22107400</v>
      </c>
    </row>
    <row r="346" spans="1:10">
      <c r="A346" s="271" t="s">
        <v>881</v>
      </c>
      <c r="B346" s="271" t="s">
        <v>882</v>
      </c>
      <c r="C346" s="271" t="s">
        <v>872</v>
      </c>
      <c r="D346" s="271" t="s">
        <v>162</v>
      </c>
      <c r="E346" s="271" t="s">
        <v>100</v>
      </c>
      <c r="F346" s="106">
        <v>4050000</v>
      </c>
      <c r="G346" s="105"/>
      <c r="H346" s="108">
        <f t="shared" si="6"/>
        <v>4050000</v>
      </c>
    </row>
    <row r="347" spans="1:10">
      <c r="A347" s="271" t="s">
        <v>883</v>
      </c>
      <c r="B347" s="271" t="s">
        <v>884</v>
      </c>
      <c r="C347" s="271" t="s">
        <v>872</v>
      </c>
      <c r="D347" s="271" t="s">
        <v>162</v>
      </c>
      <c r="E347" s="271" t="s">
        <v>100</v>
      </c>
      <c r="F347" s="106">
        <v>112649</v>
      </c>
      <c r="G347" s="105"/>
      <c r="H347" s="108">
        <f t="shared" si="6"/>
        <v>112649</v>
      </c>
    </row>
    <row r="348" spans="1:10">
      <c r="A348" s="271" t="s">
        <v>885</v>
      </c>
      <c r="B348" s="271" t="s">
        <v>886</v>
      </c>
      <c r="C348" s="271" t="s">
        <v>872</v>
      </c>
      <c r="D348" s="271" t="s">
        <v>162</v>
      </c>
      <c r="E348" s="271" t="s">
        <v>100</v>
      </c>
      <c r="F348" s="106">
        <v>140400</v>
      </c>
      <c r="G348" s="105"/>
      <c r="H348" s="108">
        <f t="shared" si="6"/>
        <v>140400</v>
      </c>
    </row>
    <row r="349" spans="1:10">
      <c r="A349" s="271" t="s">
        <v>887</v>
      </c>
      <c r="B349" s="271" t="s">
        <v>888</v>
      </c>
      <c r="C349" s="271" t="s">
        <v>872</v>
      </c>
      <c r="D349" s="271" t="s">
        <v>162</v>
      </c>
      <c r="E349" s="271" t="s">
        <v>100</v>
      </c>
      <c r="F349" s="106">
        <v>200000</v>
      </c>
      <c r="G349" s="105"/>
      <c r="H349" s="108">
        <f t="shared" si="6"/>
        <v>200000</v>
      </c>
    </row>
    <row r="350" spans="1:10">
      <c r="A350" s="271" t="s">
        <v>889</v>
      </c>
      <c r="B350" s="271" t="s">
        <v>890</v>
      </c>
      <c r="C350" s="271" t="s">
        <v>872</v>
      </c>
      <c r="D350" s="271" t="s">
        <v>169</v>
      </c>
      <c r="E350" s="271" t="s">
        <v>891</v>
      </c>
      <c r="F350" s="106">
        <v>55110449</v>
      </c>
      <c r="G350" s="105"/>
      <c r="H350" s="108"/>
    </row>
    <row r="351" spans="1:10">
      <c r="A351" s="271" t="s">
        <v>892</v>
      </c>
      <c r="B351" s="271" t="s">
        <v>893</v>
      </c>
      <c r="C351" s="271" t="s">
        <v>872</v>
      </c>
      <c r="D351" s="271" t="s">
        <v>157</v>
      </c>
      <c r="E351" s="271" t="s">
        <v>100</v>
      </c>
      <c r="F351" s="106">
        <v>0</v>
      </c>
      <c r="G351" s="105"/>
      <c r="H351" s="108"/>
    </row>
    <row r="352" spans="1:10">
      <c r="A352" s="271" t="s">
        <v>894</v>
      </c>
      <c r="B352" s="271" t="s">
        <v>895</v>
      </c>
      <c r="C352" s="271" t="s">
        <v>872</v>
      </c>
      <c r="D352" s="271" t="s">
        <v>162</v>
      </c>
      <c r="E352" s="271" t="s">
        <v>100</v>
      </c>
      <c r="F352" s="106">
        <v>0</v>
      </c>
      <c r="G352" s="105"/>
      <c r="H352" s="108">
        <f t="shared" si="6"/>
        <v>0</v>
      </c>
    </row>
    <row r="353" spans="1:8">
      <c r="A353" s="271" t="s">
        <v>896</v>
      </c>
      <c r="B353" s="271" t="s">
        <v>897</v>
      </c>
      <c r="C353" s="271" t="s">
        <v>872</v>
      </c>
      <c r="D353" s="271" t="s">
        <v>169</v>
      </c>
      <c r="E353" s="271" t="s">
        <v>898</v>
      </c>
      <c r="F353" s="106">
        <v>0</v>
      </c>
      <c r="G353" s="105"/>
      <c r="H353" s="108"/>
    </row>
    <row r="354" spans="1:8">
      <c r="A354" s="271" t="s">
        <v>899</v>
      </c>
      <c r="B354" s="271" t="s">
        <v>900</v>
      </c>
      <c r="C354" s="271" t="s">
        <v>872</v>
      </c>
      <c r="D354" s="271" t="s">
        <v>157</v>
      </c>
      <c r="E354" s="271" t="s">
        <v>100</v>
      </c>
      <c r="F354" s="106">
        <v>0</v>
      </c>
      <c r="G354" s="105"/>
      <c r="H354" s="108"/>
    </row>
    <row r="355" spans="1:8">
      <c r="A355" s="271" t="s">
        <v>901</v>
      </c>
      <c r="B355" s="271" t="s">
        <v>902</v>
      </c>
      <c r="C355" s="271" t="s">
        <v>872</v>
      </c>
      <c r="D355" s="271" t="s">
        <v>162</v>
      </c>
      <c r="E355" s="271" t="s">
        <v>100</v>
      </c>
      <c r="F355" s="106">
        <v>3366400</v>
      </c>
      <c r="G355" s="105"/>
      <c r="H355" s="108">
        <f t="shared" si="6"/>
        <v>3366400</v>
      </c>
    </row>
    <row r="356" spans="1:8">
      <c r="A356" s="271" t="s">
        <v>903</v>
      </c>
      <c r="B356" s="271" t="s">
        <v>2147</v>
      </c>
      <c r="C356" s="271" t="s">
        <v>872</v>
      </c>
      <c r="D356" s="271" t="s">
        <v>162</v>
      </c>
      <c r="E356" s="271" t="s">
        <v>100</v>
      </c>
      <c r="F356" s="106">
        <v>136250</v>
      </c>
      <c r="G356" s="105"/>
      <c r="H356" s="108">
        <f t="shared" si="6"/>
        <v>136250</v>
      </c>
    </row>
    <row r="357" spans="1:8">
      <c r="A357" s="271" t="s">
        <v>905</v>
      </c>
      <c r="B357" s="271" t="s">
        <v>906</v>
      </c>
      <c r="C357" s="271" t="s">
        <v>872</v>
      </c>
      <c r="D357" s="271" t="s">
        <v>162</v>
      </c>
      <c r="E357" s="271" t="s">
        <v>100</v>
      </c>
      <c r="F357" s="106">
        <v>8250</v>
      </c>
      <c r="G357" s="105"/>
      <c r="H357" s="108">
        <f t="shared" si="6"/>
        <v>8250</v>
      </c>
    </row>
    <row r="358" spans="1:8">
      <c r="A358" s="271" t="s">
        <v>907</v>
      </c>
      <c r="B358" s="271" t="s">
        <v>908</v>
      </c>
      <c r="C358" s="271" t="s">
        <v>872</v>
      </c>
      <c r="D358" s="271" t="s">
        <v>162</v>
      </c>
      <c r="E358" s="271" t="s">
        <v>100</v>
      </c>
      <c r="F358" s="106">
        <v>3595351.5</v>
      </c>
      <c r="G358" s="105">
        <v>637218</v>
      </c>
      <c r="H358" s="108">
        <f t="shared" si="6"/>
        <v>4232569.5</v>
      </c>
    </row>
    <row r="359" spans="1:8">
      <c r="A359" s="271" t="s">
        <v>909</v>
      </c>
      <c r="B359" s="271" t="s">
        <v>910</v>
      </c>
      <c r="C359" s="271" t="s">
        <v>872</v>
      </c>
      <c r="D359" s="271" t="s">
        <v>162</v>
      </c>
      <c r="E359" s="271" t="s">
        <v>100</v>
      </c>
      <c r="F359" s="106">
        <v>52712</v>
      </c>
      <c r="G359" s="105">
        <v>6787</v>
      </c>
      <c r="H359" s="108">
        <f t="shared" si="6"/>
        <v>59499</v>
      </c>
    </row>
    <row r="360" spans="1:8">
      <c r="A360" s="271" t="s">
        <v>913</v>
      </c>
      <c r="B360" s="271" t="s">
        <v>914</v>
      </c>
      <c r="C360" s="271" t="s">
        <v>872</v>
      </c>
      <c r="D360" s="271" t="s">
        <v>169</v>
      </c>
      <c r="E360" s="271" t="s">
        <v>915</v>
      </c>
      <c r="F360" s="106">
        <v>7158963.5</v>
      </c>
      <c r="G360" s="105"/>
      <c r="H360" s="108"/>
    </row>
    <row r="361" spans="1:8">
      <c r="A361" s="271" t="s">
        <v>916</v>
      </c>
      <c r="B361" s="271" t="s">
        <v>917</v>
      </c>
      <c r="C361" s="271" t="s">
        <v>872</v>
      </c>
      <c r="D361" s="271" t="s">
        <v>169</v>
      </c>
      <c r="E361" s="271" t="s">
        <v>918</v>
      </c>
      <c r="F361" s="106">
        <v>62269412.5</v>
      </c>
      <c r="G361" s="105"/>
      <c r="H361" s="108"/>
    </row>
    <row r="362" spans="1:8">
      <c r="A362" s="271" t="s">
        <v>919</v>
      </c>
      <c r="B362" s="271" t="s">
        <v>920</v>
      </c>
      <c r="C362" s="271" t="s">
        <v>872</v>
      </c>
      <c r="D362" s="271" t="s">
        <v>157</v>
      </c>
      <c r="E362" s="271" t="s">
        <v>100</v>
      </c>
      <c r="F362" s="106">
        <v>0</v>
      </c>
      <c r="G362" s="105"/>
      <c r="H362" s="108"/>
    </row>
    <row r="363" spans="1:8">
      <c r="A363" s="271" t="s">
        <v>921</v>
      </c>
      <c r="B363" s="271" t="s">
        <v>922</v>
      </c>
      <c r="C363" s="271" t="s">
        <v>872</v>
      </c>
      <c r="D363" s="271" t="s">
        <v>157</v>
      </c>
      <c r="E363" s="271" t="s">
        <v>100</v>
      </c>
      <c r="F363" s="106">
        <v>0</v>
      </c>
      <c r="G363" s="105"/>
      <c r="H363" s="108"/>
    </row>
    <row r="364" spans="1:8">
      <c r="A364" s="271" t="s">
        <v>923</v>
      </c>
      <c r="B364" s="271" t="s">
        <v>924</v>
      </c>
      <c r="C364" s="271" t="s">
        <v>872</v>
      </c>
      <c r="D364" s="271" t="s">
        <v>162</v>
      </c>
      <c r="E364" s="271" t="s">
        <v>100</v>
      </c>
      <c r="F364" s="106">
        <v>106802.54</v>
      </c>
      <c r="G364" s="105">
        <f>4100.65+6352.5</f>
        <v>10453.15</v>
      </c>
      <c r="H364" s="108">
        <f t="shared" si="6"/>
        <v>117255.68999999999</v>
      </c>
    </row>
    <row r="365" spans="1:8">
      <c r="A365" s="271" t="s">
        <v>925</v>
      </c>
      <c r="B365" s="271" t="s">
        <v>926</v>
      </c>
      <c r="C365" s="271" t="s">
        <v>872</v>
      </c>
      <c r="D365" s="271" t="s">
        <v>162</v>
      </c>
      <c r="E365" s="271" t="s">
        <v>100</v>
      </c>
      <c r="F365" s="106">
        <v>0</v>
      </c>
      <c r="G365" s="105"/>
      <c r="H365" s="108">
        <f t="shared" si="6"/>
        <v>0</v>
      </c>
    </row>
    <row r="366" spans="1:8">
      <c r="A366" s="271" t="s">
        <v>927</v>
      </c>
      <c r="B366" s="271" t="s">
        <v>928</v>
      </c>
      <c r="C366" s="271" t="s">
        <v>872</v>
      </c>
      <c r="D366" s="271" t="s">
        <v>162</v>
      </c>
      <c r="E366" s="271" t="s">
        <v>100</v>
      </c>
      <c r="F366" s="106">
        <v>0</v>
      </c>
      <c r="G366" s="105"/>
      <c r="H366" s="108">
        <f t="shared" si="6"/>
        <v>0</v>
      </c>
    </row>
    <row r="367" spans="1:8">
      <c r="A367" s="271" t="s">
        <v>929</v>
      </c>
      <c r="B367" s="271" t="s">
        <v>930</v>
      </c>
      <c r="C367" s="271" t="s">
        <v>872</v>
      </c>
      <c r="D367" s="271" t="s">
        <v>162</v>
      </c>
      <c r="E367" s="271" t="s">
        <v>100</v>
      </c>
      <c r="F367" s="106">
        <v>0</v>
      </c>
      <c r="G367" s="105"/>
      <c r="H367" s="108">
        <f t="shared" si="6"/>
        <v>0</v>
      </c>
    </row>
    <row r="368" spans="1:8">
      <c r="A368" s="271" t="s">
        <v>931</v>
      </c>
      <c r="B368" s="271" t="s">
        <v>932</v>
      </c>
      <c r="C368" s="271" t="s">
        <v>872</v>
      </c>
      <c r="D368" s="271" t="s">
        <v>162</v>
      </c>
      <c r="E368" s="271" t="s">
        <v>100</v>
      </c>
      <c r="F368" s="106">
        <v>408784.33</v>
      </c>
      <c r="G368" s="105"/>
      <c r="H368" s="108">
        <f t="shared" si="6"/>
        <v>408784.33</v>
      </c>
    </row>
    <row r="369" spans="1:8">
      <c r="A369" s="271" t="s">
        <v>933</v>
      </c>
      <c r="B369" s="271" t="s">
        <v>934</v>
      </c>
      <c r="C369" s="271" t="s">
        <v>872</v>
      </c>
      <c r="D369" s="271" t="s">
        <v>162</v>
      </c>
      <c r="E369" s="271" t="s">
        <v>100</v>
      </c>
      <c r="F369" s="106">
        <v>0</v>
      </c>
      <c r="G369" s="105"/>
      <c r="H369" s="108">
        <f t="shared" si="6"/>
        <v>0</v>
      </c>
    </row>
    <row r="370" spans="1:8">
      <c r="A370" s="271" t="s">
        <v>2202</v>
      </c>
      <c r="B370" s="271" t="s">
        <v>2203</v>
      </c>
      <c r="C370" s="271" t="s">
        <v>872</v>
      </c>
      <c r="D370" s="271" t="s">
        <v>162</v>
      </c>
      <c r="E370" s="271" t="s">
        <v>100</v>
      </c>
      <c r="F370" s="106">
        <v>-49604.12</v>
      </c>
      <c r="G370" s="105"/>
      <c r="H370" s="108">
        <f t="shared" si="6"/>
        <v>-49604.12</v>
      </c>
    </row>
    <row r="371" spans="1:8">
      <c r="A371" s="271" t="s">
        <v>935</v>
      </c>
      <c r="B371" s="271" t="s">
        <v>2171</v>
      </c>
      <c r="C371" s="271" t="s">
        <v>872</v>
      </c>
      <c r="D371" s="271" t="s">
        <v>162</v>
      </c>
      <c r="E371" s="271" t="s">
        <v>100</v>
      </c>
      <c r="F371" s="106">
        <v>0</v>
      </c>
      <c r="G371" s="105"/>
      <c r="H371" s="108">
        <f t="shared" si="6"/>
        <v>0</v>
      </c>
    </row>
    <row r="372" spans="1:8">
      <c r="A372" s="271" t="s">
        <v>937</v>
      </c>
      <c r="B372" s="271" t="s">
        <v>938</v>
      </c>
      <c r="C372" s="271" t="s">
        <v>872</v>
      </c>
      <c r="D372" s="271" t="s">
        <v>169</v>
      </c>
      <c r="E372" s="271" t="s">
        <v>939</v>
      </c>
      <c r="F372" s="106">
        <v>465982.75</v>
      </c>
      <c r="G372" s="105"/>
      <c r="H372" s="108"/>
    </row>
    <row r="373" spans="1:8">
      <c r="A373" s="271" t="s">
        <v>940</v>
      </c>
      <c r="B373" s="271" t="s">
        <v>941</v>
      </c>
      <c r="C373" s="271" t="s">
        <v>872</v>
      </c>
      <c r="D373" s="271" t="s">
        <v>157</v>
      </c>
      <c r="E373" s="271" t="s">
        <v>100</v>
      </c>
      <c r="F373" s="106">
        <v>0</v>
      </c>
      <c r="G373" s="105"/>
      <c r="H373" s="108"/>
    </row>
    <row r="374" spans="1:8">
      <c r="A374" s="271" t="s">
        <v>942</v>
      </c>
      <c r="B374" s="271" t="s">
        <v>943</v>
      </c>
      <c r="C374" s="271" t="s">
        <v>872</v>
      </c>
      <c r="D374" s="271" t="s">
        <v>162</v>
      </c>
      <c r="E374" s="271" t="s">
        <v>100</v>
      </c>
      <c r="F374" s="106">
        <v>29500</v>
      </c>
      <c r="G374" s="105"/>
      <c r="H374" s="108">
        <f t="shared" si="6"/>
        <v>29500</v>
      </c>
    </row>
    <row r="375" spans="1:8">
      <c r="A375" s="271" t="s">
        <v>944</v>
      </c>
      <c r="B375" s="271" t="s">
        <v>2204</v>
      </c>
      <c r="C375" s="271" t="s">
        <v>872</v>
      </c>
      <c r="D375" s="271" t="s">
        <v>162</v>
      </c>
      <c r="E375" s="271" t="s">
        <v>100</v>
      </c>
      <c r="F375" s="106">
        <v>0</v>
      </c>
      <c r="G375" s="105"/>
      <c r="H375" s="108">
        <f t="shared" si="6"/>
        <v>0</v>
      </c>
    </row>
    <row r="376" spans="1:8">
      <c r="A376" s="271" t="s">
        <v>946</v>
      </c>
      <c r="B376" s="271" t="s">
        <v>947</v>
      </c>
      <c r="C376" s="271" t="s">
        <v>872</v>
      </c>
      <c r="D376" s="271" t="s">
        <v>162</v>
      </c>
      <c r="E376" s="271" t="s">
        <v>100</v>
      </c>
      <c r="F376" s="106">
        <v>0</v>
      </c>
      <c r="G376" s="105"/>
      <c r="H376" s="108">
        <f t="shared" si="6"/>
        <v>0</v>
      </c>
    </row>
    <row r="377" spans="1:8">
      <c r="A377" s="271" t="s">
        <v>948</v>
      </c>
      <c r="B377" s="271" t="s">
        <v>949</v>
      </c>
      <c r="C377" s="271" t="s">
        <v>872</v>
      </c>
      <c r="D377" s="271" t="s">
        <v>162</v>
      </c>
      <c r="E377" s="271" t="s">
        <v>100</v>
      </c>
      <c r="F377" s="106">
        <v>20000</v>
      </c>
      <c r="G377" s="105"/>
      <c r="H377" s="108">
        <f t="shared" si="6"/>
        <v>20000</v>
      </c>
    </row>
    <row r="378" spans="1:8">
      <c r="A378" s="271" t="s">
        <v>950</v>
      </c>
      <c r="B378" s="271" t="s">
        <v>951</v>
      </c>
      <c r="C378" s="271" t="s">
        <v>872</v>
      </c>
      <c r="D378" s="271" t="s">
        <v>162</v>
      </c>
      <c r="E378" s="271" t="s">
        <v>100</v>
      </c>
      <c r="F378" s="106">
        <v>3000</v>
      </c>
      <c r="G378" s="105"/>
      <c r="H378" s="108">
        <f t="shared" si="6"/>
        <v>3000</v>
      </c>
    </row>
    <row r="379" spans="1:8">
      <c r="A379" s="271" t="s">
        <v>952</v>
      </c>
      <c r="B379" s="271" t="s">
        <v>953</v>
      </c>
      <c r="C379" s="271" t="s">
        <v>872</v>
      </c>
      <c r="D379" s="271" t="s">
        <v>169</v>
      </c>
      <c r="E379" s="271" t="s">
        <v>954</v>
      </c>
      <c r="F379" s="106">
        <v>52500</v>
      </c>
      <c r="G379" s="105"/>
      <c r="H379" s="108"/>
    </row>
    <row r="380" spans="1:8">
      <c r="A380" s="271" t="s">
        <v>955</v>
      </c>
      <c r="B380" s="271" t="s">
        <v>956</v>
      </c>
      <c r="C380" s="271" t="s">
        <v>872</v>
      </c>
      <c r="D380" s="271" t="s">
        <v>157</v>
      </c>
      <c r="E380" s="271" t="s">
        <v>100</v>
      </c>
      <c r="F380" s="106">
        <v>0</v>
      </c>
      <c r="G380" s="105"/>
      <c r="H380" s="108"/>
    </row>
    <row r="381" spans="1:8">
      <c r="A381" s="271" t="s">
        <v>957</v>
      </c>
      <c r="B381" s="271" t="s">
        <v>958</v>
      </c>
      <c r="C381" s="271" t="s">
        <v>872</v>
      </c>
      <c r="D381" s="271" t="s">
        <v>162</v>
      </c>
      <c r="E381" s="271" t="s">
        <v>100</v>
      </c>
      <c r="F381" s="106">
        <v>1481.72</v>
      </c>
      <c r="G381" s="105"/>
      <c r="H381" s="108">
        <f t="shared" si="6"/>
        <v>1481.72</v>
      </c>
    </row>
    <row r="382" spans="1:8">
      <c r="A382" s="271" t="s">
        <v>959</v>
      </c>
      <c r="B382" s="271" t="s">
        <v>960</v>
      </c>
      <c r="C382" s="271" t="s">
        <v>872</v>
      </c>
      <c r="D382" s="271" t="s">
        <v>162</v>
      </c>
      <c r="E382" s="271" t="s">
        <v>100</v>
      </c>
      <c r="F382" s="106">
        <v>664946.26</v>
      </c>
      <c r="G382" s="105"/>
      <c r="H382" s="108">
        <f t="shared" si="6"/>
        <v>664946.26</v>
      </c>
    </row>
    <row r="383" spans="1:8">
      <c r="A383" s="271" t="s">
        <v>961</v>
      </c>
      <c r="B383" s="271" t="s">
        <v>962</v>
      </c>
      <c r="C383" s="271" t="s">
        <v>872</v>
      </c>
      <c r="D383" s="271" t="s">
        <v>162</v>
      </c>
      <c r="E383" s="271" t="s">
        <v>100</v>
      </c>
      <c r="F383" s="106">
        <v>90529.44</v>
      </c>
      <c r="G383" s="105">
        <f>-90529.44+71805.75</f>
        <v>-18723.690000000002</v>
      </c>
      <c r="H383" s="108">
        <f t="shared" si="6"/>
        <v>71805.75</v>
      </c>
    </row>
    <row r="384" spans="1:8">
      <c r="A384" s="271" t="s">
        <v>963</v>
      </c>
      <c r="B384" s="271" t="s">
        <v>964</v>
      </c>
      <c r="C384" s="271" t="s">
        <v>872</v>
      </c>
      <c r="D384" s="271" t="s">
        <v>162</v>
      </c>
      <c r="E384" s="271" t="s">
        <v>100</v>
      </c>
      <c r="F384" s="106">
        <v>0</v>
      </c>
      <c r="G384" s="105"/>
      <c r="H384" s="108">
        <f t="shared" si="6"/>
        <v>0</v>
      </c>
    </row>
    <row r="385" spans="1:8">
      <c r="A385" s="271" t="s">
        <v>965</v>
      </c>
      <c r="B385" s="271" t="s">
        <v>966</v>
      </c>
      <c r="C385" s="271" t="s">
        <v>872</v>
      </c>
      <c r="D385" s="271" t="s">
        <v>169</v>
      </c>
      <c r="E385" s="271" t="s">
        <v>967</v>
      </c>
      <c r="F385" s="106">
        <v>756957.42</v>
      </c>
      <c r="G385" s="105"/>
      <c r="H385" s="108"/>
    </row>
    <row r="386" spans="1:8">
      <c r="A386" s="271" t="s">
        <v>968</v>
      </c>
      <c r="B386" s="271" t="s">
        <v>938</v>
      </c>
      <c r="C386" s="271" t="s">
        <v>872</v>
      </c>
      <c r="D386" s="271" t="s">
        <v>169</v>
      </c>
      <c r="E386" s="271" t="s">
        <v>969</v>
      </c>
      <c r="F386" s="106">
        <v>1275440.17</v>
      </c>
      <c r="G386" s="105"/>
      <c r="H386" s="108"/>
    </row>
    <row r="387" spans="1:8">
      <c r="A387" s="271" t="s">
        <v>970</v>
      </c>
      <c r="B387" s="271" t="s">
        <v>971</v>
      </c>
      <c r="C387" s="271" t="s">
        <v>872</v>
      </c>
      <c r="D387" s="271" t="s">
        <v>157</v>
      </c>
      <c r="E387" s="271" t="s">
        <v>100</v>
      </c>
      <c r="F387" s="106">
        <v>0</v>
      </c>
      <c r="G387" s="105"/>
      <c r="H387" s="108"/>
    </row>
    <row r="388" spans="1:8">
      <c r="A388" s="271" t="s">
        <v>972</v>
      </c>
      <c r="B388" s="271" t="s">
        <v>973</v>
      </c>
      <c r="C388" s="271" t="s">
        <v>872</v>
      </c>
      <c r="D388" s="271" t="s">
        <v>162</v>
      </c>
      <c r="E388" s="271" t="s">
        <v>100</v>
      </c>
      <c r="F388" s="106">
        <v>7638354.1699999999</v>
      </c>
      <c r="G388" s="105"/>
      <c r="H388" s="108">
        <f t="shared" si="6"/>
        <v>7638354.1699999999</v>
      </c>
    </row>
    <row r="389" spans="1:8">
      <c r="A389" s="271" t="s">
        <v>974</v>
      </c>
      <c r="B389" s="271" t="s">
        <v>2172</v>
      </c>
      <c r="C389" s="271" t="s">
        <v>872</v>
      </c>
      <c r="D389" s="271" t="s">
        <v>162</v>
      </c>
      <c r="E389" s="271" t="s">
        <v>100</v>
      </c>
      <c r="F389" s="106">
        <v>2952.29</v>
      </c>
      <c r="G389" s="105"/>
      <c r="H389" s="108">
        <f t="shared" si="6"/>
        <v>2952.29</v>
      </c>
    </row>
    <row r="390" spans="1:8">
      <c r="A390" s="271" t="s">
        <v>976</v>
      </c>
      <c r="B390" s="271" t="s">
        <v>977</v>
      </c>
      <c r="C390" s="271" t="s">
        <v>872</v>
      </c>
      <c r="D390" s="271" t="s">
        <v>162</v>
      </c>
      <c r="E390" s="271" t="s">
        <v>100</v>
      </c>
      <c r="F390" s="106">
        <v>12289.71</v>
      </c>
      <c r="G390" s="105"/>
      <c r="H390" s="108">
        <f t="shared" si="6"/>
        <v>12289.71</v>
      </c>
    </row>
    <row r="391" spans="1:8">
      <c r="A391" s="271" t="s">
        <v>978</v>
      </c>
      <c r="B391" s="271" t="s">
        <v>979</v>
      </c>
      <c r="C391" s="271" t="s">
        <v>872</v>
      </c>
      <c r="D391" s="271" t="s">
        <v>162</v>
      </c>
      <c r="E391" s="271" t="s">
        <v>100</v>
      </c>
      <c r="F391" s="106">
        <v>0</v>
      </c>
      <c r="G391" s="105"/>
      <c r="H391" s="108">
        <f t="shared" si="6"/>
        <v>0</v>
      </c>
    </row>
    <row r="392" spans="1:8">
      <c r="A392" s="271" t="s">
        <v>980</v>
      </c>
      <c r="B392" s="271" t="s">
        <v>981</v>
      </c>
      <c r="C392" s="271" t="s">
        <v>872</v>
      </c>
      <c r="D392" s="271" t="s">
        <v>162</v>
      </c>
      <c r="E392" s="271" t="s">
        <v>100</v>
      </c>
      <c r="F392" s="106">
        <v>-11564.38</v>
      </c>
      <c r="G392" s="105"/>
      <c r="H392" s="108">
        <f t="shared" si="6"/>
        <v>-11564.38</v>
      </c>
    </row>
    <row r="393" spans="1:8">
      <c r="A393" s="271" t="s">
        <v>982</v>
      </c>
      <c r="B393" s="271" t="s">
        <v>983</v>
      </c>
      <c r="C393" s="271" t="s">
        <v>872</v>
      </c>
      <c r="D393" s="271" t="s">
        <v>162</v>
      </c>
      <c r="E393" s="271" t="s">
        <v>100</v>
      </c>
      <c r="F393" s="106">
        <v>20198.400000000001</v>
      </c>
      <c r="G393" s="105"/>
      <c r="H393" s="108">
        <f t="shared" si="6"/>
        <v>20198.400000000001</v>
      </c>
    </row>
    <row r="394" spans="1:8">
      <c r="A394" s="271" t="s">
        <v>984</v>
      </c>
      <c r="B394" s="271" t="s">
        <v>985</v>
      </c>
      <c r="C394" s="271" t="s">
        <v>872</v>
      </c>
      <c r="D394" s="271" t="s">
        <v>162</v>
      </c>
      <c r="E394" s="271" t="s">
        <v>100</v>
      </c>
      <c r="F394" s="106">
        <v>2808.48</v>
      </c>
      <c r="G394" s="105"/>
      <c r="H394" s="108">
        <f t="shared" si="6"/>
        <v>2808.48</v>
      </c>
    </row>
    <row r="395" spans="1:8">
      <c r="A395" s="271" t="s">
        <v>986</v>
      </c>
      <c r="B395" s="271" t="s">
        <v>987</v>
      </c>
      <c r="C395" s="271" t="s">
        <v>872</v>
      </c>
      <c r="D395" s="271" t="s">
        <v>162</v>
      </c>
      <c r="E395" s="271" t="s">
        <v>100</v>
      </c>
      <c r="F395" s="106">
        <v>1900</v>
      </c>
      <c r="G395" s="105"/>
      <c r="H395" s="108">
        <f t="shared" si="6"/>
        <v>1900</v>
      </c>
    </row>
    <row r="396" spans="1:8">
      <c r="A396" s="271" t="s">
        <v>988</v>
      </c>
      <c r="B396" s="271" t="s">
        <v>2173</v>
      </c>
      <c r="C396" s="271" t="s">
        <v>872</v>
      </c>
      <c r="D396" s="271" t="s">
        <v>162</v>
      </c>
      <c r="E396" s="271" t="s">
        <v>100</v>
      </c>
      <c r="F396" s="106">
        <v>2061.69</v>
      </c>
      <c r="G396" s="105"/>
      <c r="H396" s="108">
        <f t="shared" si="6"/>
        <v>2061.69</v>
      </c>
    </row>
    <row r="397" spans="1:8">
      <c r="A397" s="271" t="s">
        <v>990</v>
      </c>
      <c r="B397" s="271" t="s">
        <v>2174</v>
      </c>
      <c r="C397" s="271" t="s">
        <v>872</v>
      </c>
      <c r="D397" s="271" t="s">
        <v>162</v>
      </c>
      <c r="E397" s="271" t="s">
        <v>100</v>
      </c>
      <c r="F397" s="106">
        <v>8634.91</v>
      </c>
      <c r="G397" s="105"/>
      <c r="H397" s="108">
        <f t="shared" si="6"/>
        <v>8634.91</v>
      </c>
    </row>
    <row r="398" spans="1:8">
      <c r="A398" s="271" t="s">
        <v>992</v>
      </c>
      <c r="B398" s="271" t="s">
        <v>993</v>
      </c>
      <c r="C398" s="271" t="s">
        <v>872</v>
      </c>
      <c r="D398" s="271" t="s">
        <v>162</v>
      </c>
      <c r="E398" s="271" t="s">
        <v>100</v>
      </c>
      <c r="F398" s="106">
        <v>12848.3</v>
      </c>
      <c r="G398" s="105"/>
      <c r="H398" s="108">
        <f t="shared" si="6"/>
        <v>12848.3</v>
      </c>
    </row>
    <row r="399" spans="1:8">
      <c r="A399" s="271" t="s">
        <v>994</v>
      </c>
      <c r="B399" s="271" t="s">
        <v>2175</v>
      </c>
      <c r="C399" s="271" t="s">
        <v>872</v>
      </c>
      <c r="D399" s="271" t="s">
        <v>162</v>
      </c>
      <c r="E399" s="271" t="s">
        <v>100</v>
      </c>
      <c r="F399" s="106">
        <v>-1635.36</v>
      </c>
      <c r="G399" s="105"/>
      <c r="H399" s="108">
        <f t="shared" si="6"/>
        <v>-1635.36</v>
      </c>
    </row>
    <row r="400" spans="1:8">
      <c r="A400" s="271" t="s">
        <v>996</v>
      </c>
      <c r="B400" s="271" t="s">
        <v>2176</v>
      </c>
      <c r="C400" s="271" t="s">
        <v>872</v>
      </c>
      <c r="D400" s="271" t="s">
        <v>162</v>
      </c>
      <c r="E400" s="271" t="s">
        <v>100</v>
      </c>
      <c r="F400" s="106">
        <v>1973.45</v>
      </c>
      <c r="G400" s="105"/>
      <c r="H400" s="108">
        <f t="shared" si="6"/>
        <v>1973.45</v>
      </c>
    </row>
    <row r="401" spans="1:8">
      <c r="A401" s="271" t="s">
        <v>998</v>
      </c>
      <c r="B401" s="271" t="s">
        <v>2177</v>
      </c>
      <c r="C401" s="271" t="s">
        <v>872</v>
      </c>
      <c r="D401" s="271" t="s">
        <v>162</v>
      </c>
      <c r="E401" s="271" t="s">
        <v>100</v>
      </c>
      <c r="F401" s="106">
        <v>1448</v>
      </c>
      <c r="G401" s="105"/>
      <c r="H401" s="108">
        <f t="shared" si="6"/>
        <v>1448</v>
      </c>
    </row>
    <row r="402" spans="1:8">
      <c r="A402" s="271" t="s">
        <v>1000</v>
      </c>
      <c r="B402" s="271" t="s">
        <v>2205</v>
      </c>
      <c r="C402" s="271" t="s">
        <v>872</v>
      </c>
      <c r="D402" s="271" t="s">
        <v>162</v>
      </c>
      <c r="E402" s="271" t="s">
        <v>100</v>
      </c>
      <c r="F402" s="106">
        <v>0</v>
      </c>
      <c r="G402" s="105"/>
      <c r="H402" s="108">
        <f t="shared" si="6"/>
        <v>0</v>
      </c>
    </row>
    <row r="403" spans="1:8">
      <c r="A403" s="271" t="s">
        <v>1002</v>
      </c>
      <c r="B403" s="271" t="s">
        <v>1003</v>
      </c>
      <c r="C403" s="271" t="s">
        <v>872</v>
      </c>
      <c r="D403" s="271" t="s">
        <v>169</v>
      </c>
      <c r="E403" s="271" t="s">
        <v>1004</v>
      </c>
      <c r="F403" s="106">
        <v>7692269.6600000001</v>
      </c>
      <c r="G403" s="105"/>
      <c r="H403" s="108"/>
    </row>
    <row r="404" spans="1:8">
      <c r="A404" s="271" t="s">
        <v>1005</v>
      </c>
      <c r="B404" s="271" t="s">
        <v>1006</v>
      </c>
      <c r="C404" s="271" t="s">
        <v>872</v>
      </c>
      <c r="D404" s="271" t="s">
        <v>169</v>
      </c>
      <c r="E404" s="271" t="s">
        <v>1007</v>
      </c>
      <c r="F404" s="106">
        <v>71237122.329999998</v>
      </c>
      <c r="G404" s="105"/>
      <c r="H404" s="108"/>
    </row>
    <row r="405" spans="1:8">
      <c r="A405" s="271" t="s">
        <v>1008</v>
      </c>
      <c r="B405" s="271" t="s">
        <v>1009</v>
      </c>
      <c r="C405" s="271" t="s">
        <v>872</v>
      </c>
      <c r="D405" s="271" t="s">
        <v>157</v>
      </c>
      <c r="E405" s="271" t="s">
        <v>100</v>
      </c>
      <c r="F405" s="106">
        <v>0</v>
      </c>
      <c r="G405" s="105"/>
      <c r="H405" s="104"/>
    </row>
    <row r="406" spans="1:8">
      <c r="A406" s="271" t="s">
        <v>1010</v>
      </c>
      <c r="B406" s="271" t="s">
        <v>1011</v>
      </c>
      <c r="C406" s="271" t="s">
        <v>872</v>
      </c>
      <c r="D406" s="271" t="s">
        <v>157</v>
      </c>
      <c r="E406" s="271" t="s">
        <v>100</v>
      </c>
      <c r="F406" s="106">
        <v>0</v>
      </c>
      <c r="G406" s="105"/>
      <c r="H406" s="104"/>
    </row>
    <row r="407" spans="1:8">
      <c r="A407" s="271" t="s">
        <v>1012</v>
      </c>
      <c r="B407" s="271" t="s">
        <v>1013</v>
      </c>
      <c r="C407" s="271" t="s">
        <v>872</v>
      </c>
      <c r="D407" s="271" t="s">
        <v>157</v>
      </c>
      <c r="E407" s="271" t="s">
        <v>100</v>
      </c>
      <c r="F407" s="106">
        <v>0</v>
      </c>
      <c r="G407" s="105"/>
      <c r="H407" s="104"/>
    </row>
    <row r="408" spans="1:8">
      <c r="A408" s="271" t="s">
        <v>1014</v>
      </c>
      <c r="B408" s="271" t="s">
        <v>1015</v>
      </c>
      <c r="C408" s="271" t="s">
        <v>872</v>
      </c>
      <c r="D408" s="271" t="s">
        <v>162</v>
      </c>
      <c r="E408" s="271" t="s">
        <v>100</v>
      </c>
      <c r="F408" s="106">
        <v>-24553970.550000001</v>
      </c>
      <c r="G408" s="109">
        <f>-500000+644004</f>
        <v>144004</v>
      </c>
      <c r="H408" s="108">
        <f>SUM(F408:G408)</f>
        <v>-24409966.550000001</v>
      </c>
    </row>
    <row r="409" spans="1:8">
      <c r="A409" s="271" t="s">
        <v>1016</v>
      </c>
      <c r="B409" s="271" t="s">
        <v>106</v>
      </c>
      <c r="C409" s="271" t="s">
        <v>872</v>
      </c>
      <c r="D409" s="271" t="s">
        <v>598</v>
      </c>
      <c r="E409" s="271" t="s">
        <v>869</v>
      </c>
      <c r="F409" s="106">
        <v>268870.96999999997</v>
      </c>
      <c r="G409" s="109"/>
      <c r="H409" s="108">
        <f t="shared" ref="H409:H472" si="7">SUM(F409:G409)</f>
        <v>268870.96999999997</v>
      </c>
    </row>
    <row r="410" spans="1:8">
      <c r="A410" s="271" t="s">
        <v>1017</v>
      </c>
      <c r="B410" s="271" t="s">
        <v>1018</v>
      </c>
      <c r="C410" s="271" t="s">
        <v>872</v>
      </c>
      <c r="D410" s="271" t="s">
        <v>162</v>
      </c>
      <c r="E410" s="271" t="s">
        <v>100</v>
      </c>
      <c r="F410" s="106">
        <v>-3131550</v>
      </c>
      <c r="G410" s="109"/>
      <c r="H410" s="108">
        <f t="shared" si="7"/>
        <v>-3131550</v>
      </c>
    </row>
    <row r="411" spans="1:8">
      <c r="A411" s="271" t="s">
        <v>1019</v>
      </c>
      <c r="B411" s="271" t="s">
        <v>1020</v>
      </c>
      <c r="C411" s="271" t="s">
        <v>872</v>
      </c>
      <c r="D411" s="271" t="s">
        <v>162</v>
      </c>
      <c r="E411" s="271" t="s">
        <v>100</v>
      </c>
      <c r="F411" s="106">
        <v>527309.25</v>
      </c>
      <c r="G411" s="109"/>
      <c r="H411" s="108">
        <f t="shared" si="7"/>
        <v>527309.25</v>
      </c>
    </row>
    <row r="412" spans="1:8">
      <c r="A412" s="271" t="s">
        <v>1021</v>
      </c>
      <c r="B412" s="271" t="s">
        <v>1022</v>
      </c>
      <c r="C412" s="271" t="s">
        <v>872</v>
      </c>
      <c r="D412" s="271" t="s">
        <v>162</v>
      </c>
      <c r="E412" s="271" t="s">
        <v>100</v>
      </c>
      <c r="F412" s="106">
        <v>-20740394.149999999</v>
      </c>
      <c r="G412" s="109"/>
      <c r="H412" s="108">
        <f t="shared" si="7"/>
        <v>-20740394.149999999</v>
      </c>
    </row>
    <row r="413" spans="1:8">
      <c r="A413" s="271" t="s">
        <v>1023</v>
      </c>
      <c r="B413" s="271" t="s">
        <v>1024</v>
      </c>
      <c r="C413" s="271" t="s">
        <v>872</v>
      </c>
      <c r="D413" s="271" t="s">
        <v>162</v>
      </c>
      <c r="E413" s="271" t="s">
        <v>100</v>
      </c>
      <c r="F413" s="106">
        <v>-1676104</v>
      </c>
      <c r="G413" s="109">
        <f>-6787-637217.5+500000</f>
        <v>-144004.5</v>
      </c>
      <c r="H413" s="108">
        <f t="shared" si="7"/>
        <v>-1820108.5</v>
      </c>
    </row>
    <row r="414" spans="1:8">
      <c r="A414" s="271" t="s">
        <v>1025</v>
      </c>
      <c r="B414" s="271" t="s">
        <v>1026</v>
      </c>
      <c r="C414" s="271" t="s">
        <v>872</v>
      </c>
      <c r="D414" s="271" t="s">
        <v>169</v>
      </c>
      <c r="E414" s="271" t="s">
        <v>1027</v>
      </c>
      <c r="F414" s="106">
        <v>-49574709.450000003</v>
      </c>
      <c r="G414" s="109"/>
      <c r="H414" s="108"/>
    </row>
    <row r="415" spans="1:8">
      <c r="A415" s="271" t="s">
        <v>1028</v>
      </c>
      <c r="B415" s="271" t="s">
        <v>1029</v>
      </c>
      <c r="C415" s="271" t="s">
        <v>872</v>
      </c>
      <c r="D415" s="271" t="s">
        <v>157</v>
      </c>
      <c r="E415" s="271" t="s">
        <v>100</v>
      </c>
      <c r="F415" s="106">
        <v>0</v>
      </c>
      <c r="G415" s="109"/>
      <c r="H415" s="108"/>
    </row>
    <row r="416" spans="1:8">
      <c r="A416" s="271" t="s">
        <v>1030</v>
      </c>
      <c r="B416" s="271" t="s">
        <v>1031</v>
      </c>
      <c r="C416" s="271" t="s">
        <v>872</v>
      </c>
      <c r="D416" s="271" t="s">
        <v>162</v>
      </c>
      <c r="E416" s="271" t="s">
        <v>100</v>
      </c>
      <c r="F416" s="106">
        <v>-14361829.24</v>
      </c>
      <c r="G416" s="109"/>
      <c r="H416" s="108">
        <f t="shared" si="7"/>
        <v>-14361829.24</v>
      </c>
    </row>
    <row r="417" spans="1:8">
      <c r="A417" s="271" t="s">
        <v>1032</v>
      </c>
      <c r="B417" s="271" t="s">
        <v>1033</v>
      </c>
      <c r="C417" s="271" t="s">
        <v>872</v>
      </c>
      <c r="D417" s="271" t="s">
        <v>162</v>
      </c>
      <c r="E417" s="271" t="s">
        <v>100</v>
      </c>
      <c r="F417" s="106">
        <v>-51255.01</v>
      </c>
      <c r="G417" s="109"/>
      <c r="H417" s="108">
        <f t="shared" si="7"/>
        <v>-51255.01</v>
      </c>
    </row>
    <row r="418" spans="1:8">
      <c r="A418" s="271" t="s">
        <v>1034</v>
      </c>
      <c r="B418" s="271" t="s">
        <v>1035</v>
      </c>
      <c r="C418" s="271" t="s">
        <v>872</v>
      </c>
      <c r="D418" s="271" t="s">
        <v>162</v>
      </c>
      <c r="E418" s="271" t="s">
        <v>100</v>
      </c>
      <c r="F418" s="106">
        <v>753955</v>
      </c>
      <c r="G418" s="109"/>
      <c r="H418" s="108">
        <f t="shared" si="7"/>
        <v>753955</v>
      </c>
    </row>
    <row r="419" spans="1:8">
      <c r="A419" s="271" t="s">
        <v>1036</v>
      </c>
      <c r="B419" s="271" t="s">
        <v>1037</v>
      </c>
      <c r="C419" s="271" t="s">
        <v>872</v>
      </c>
      <c r="D419" s="271" t="s">
        <v>162</v>
      </c>
      <c r="E419" s="271" t="s">
        <v>100</v>
      </c>
      <c r="F419" s="106">
        <v>7482753</v>
      </c>
      <c r="G419" s="109"/>
      <c r="H419" s="108">
        <f t="shared" si="7"/>
        <v>7482753</v>
      </c>
    </row>
    <row r="420" spans="1:8">
      <c r="A420" s="271" t="s">
        <v>1038</v>
      </c>
      <c r="B420" s="271" t="s">
        <v>440</v>
      </c>
      <c r="C420" s="271" t="s">
        <v>872</v>
      </c>
      <c r="D420" s="271" t="s">
        <v>162</v>
      </c>
      <c r="E420" s="271" t="s">
        <v>100</v>
      </c>
      <c r="F420" s="106">
        <v>40000</v>
      </c>
      <c r="G420" s="109"/>
      <c r="H420" s="108">
        <f t="shared" si="7"/>
        <v>40000</v>
      </c>
    </row>
    <row r="421" spans="1:8">
      <c r="A421" s="271" t="s">
        <v>1039</v>
      </c>
      <c r="B421" s="271" t="s">
        <v>1040</v>
      </c>
      <c r="C421" s="271" t="s">
        <v>872</v>
      </c>
      <c r="D421" s="271" t="s">
        <v>169</v>
      </c>
      <c r="E421" s="271" t="s">
        <v>1041</v>
      </c>
      <c r="F421" s="106">
        <v>-6136376.25</v>
      </c>
      <c r="G421" s="109"/>
      <c r="H421" s="108"/>
    </row>
    <row r="422" spans="1:8">
      <c r="A422" s="271" t="s">
        <v>1042</v>
      </c>
      <c r="B422" s="271" t="s">
        <v>1043</v>
      </c>
      <c r="C422" s="271" t="s">
        <v>872</v>
      </c>
      <c r="D422" s="271" t="s">
        <v>157</v>
      </c>
      <c r="E422" s="271" t="s">
        <v>100</v>
      </c>
      <c r="F422" s="106">
        <v>0</v>
      </c>
      <c r="G422" s="109"/>
      <c r="H422" s="108"/>
    </row>
    <row r="423" spans="1:8">
      <c r="A423" s="271" t="s">
        <v>1044</v>
      </c>
      <c r="B423" s="271" t="s">
        <v>1045</v>
      </c>
      <c r="C423" s="271" t="s">
        <v>872</v>
      </c>
      <c r="D423" s="271" t="s">
        <v>162</v>
      </c>
      <c r="E423" s="271" t="s">
        <v>100</v>
      </c>
      <c r="F423" s="106">
        <v>0</v>
      </c>
      <c r="G423" s="109"/>
      <c r="H423" s="108">
        <f t="shared" si="7"/>
        <v>0</v>
      </c>
    </row>
    <row r="424" spans="1:8">
      <c r="A424" s="271" t="s">
        <v>1046</v>
      </c>
      <c r="B424" s="271" t="s">
        <v>1047</v>
      </c>
      <c r="C424" s="271" t="s">
        <v>872</v>
      </c>
      <c r="D424" s="271" t="s">
        <v>162</v>
      </c>
      <c r="E424" s="271" t="s">
        <v>100</v>
      </c>
      <c r="F424" s="106">
        <v>0</v>
      </c>
      <c r="G424" s="109"/>
      <c r="H424" s="108">
        <f t="shared" si="7"/>
        <v>0</v>
      </c>
    </row>
    <row r="425" spans="1:8">
      <c r="A425" s="271" t="s">
        <v>1048</v>
      </c>
      <c r="B425" s="271" t="s">
        <v>1049</v>
      </c>
      <c r="C425" s="271" t="s">
        <v>872</v>
      </c>
      <c r="D425" s="271" t="s">
        <v>162</v>
      </c>
      <c r="E425" s="271" t="s">
        <v>100</v>
      </c>
      <c r="F425" s="106">
        <v>0</v>
      </c>
      <c r="G425" s="109"/>
      <c r="H425" s="108">
        <f t="shared" si="7"/>
        <v>0</v>
      </c>
    </row>
    <row r="426" spans="1:8">
      <c r="A426" s="271" t="s">
        <v>1050</v>
      </c>
      <c r="B426" s="271" t="s">
        <v>1051</v>
      </c>
      <c r="C426" s="271" t="s">
        <v>872</v>
      </c>
      <c r="D426" s="271" t="s">
        <v>162</v>
      </c>
      <c r="E426" s="271" t="s">
        <v>100</v>
      </c>
      <c r="F426" s="106">
        <v>0</v>
      </c>
      <c r="G426" s="109"/>
      <c r="H426" s="108">
        <f t="shared" si="7"/>
        <v>0</v>
      </c>
    </row>
    <row r="427" spans="1:8">
      <c r="A427" s="271" t="s">
        <v>1052</v>
      </c>
      <c r="B427" s="271" t="s">
        <v>1053</v>
      </c>
      <c r="C427" s="271" t="s">
        <v>872</v>
      </c>
      <c r="D427" s="271" t="s">
        <v>162</v>
      </c>
      <c r="E427" s="271" t="s">
        <v>100</v>
      </c>
      <c r="F427" s="106">
        <v>0</v>
      </c>
      <c r="G427" s="109"/>
      <c r="H427" s="108">
        <f t="shared" si="7"/>
        <v>0</v>
      </c>
    </row>
    <row r="428" spans="1:8">
      <c r="A428" s="271" t="s">
        <v>1054</v>
      </c>
      <c r="B428" s="271" t="s">
        <v>1055</v>
      </c>
      <c r="C428" s="271" t="s">
        <v>872</v>
      </c>
      <c r="D428" s="271" t="s">
        <v>162</v>
      </c>
      <c r="E428" s="271" t="s">
        <v>100</v>
      </c>
      <c r="F428" s="106">
        <v>-2525452.63</v>
      </c>
      <c r="G428" s="109">
        <f>186395.46+48000</f>
        <v>234395.46</v>
      </c>
      <c r="H428" s="108">
        <f t="shared" si="7"/>
        <v>-2291057.17</v>
      </c>
    </row>
    <row r="429" spans="1:8">
      <c r="A429" s="271" t="s">
        <v>1056</v>
      </c>
      <c r="B429" s="271" t="s">
        <v>2178</v>
      </c>
      <c r="C429" s="271" t="s">
        <v>872</v>
      </c>
      <c r="D429" s="271" t="s">
        <v>157</v>
      </c>
      <c r="E429" s="271" t="s">
        <v>100</v>
      </c>
      <c r="F429" s="106">
        <v>0</v>
      </c>
      <c r="G429" s="109"/>
      <c r="H429" s="108"/>
    </row>
    <row r="430" spans="1:8">
      <c r="A430" s="271" t="s">
        <v>1058</v>
      </c>
      <c r="B430" s="271" t="s">
        <v>1031</v>
      </c>
      <c r="C430" s="271" t="s">
        <v>872</v>
      </c>
      <c r="D430" s="271" t="s">
        <v>162</v>
      </c>
      <c r="E430" s="271" t="s">
        <v>100</v>
      </c>
      <c r="F430" s="106">
        <v>-553769.55000000005</v>
      </c>
      <c r="G430" s="109"/>
      <c r="H430" s="108">
        <f t="shared" si="7"/>
        <v>-553769.55000000005</v>
      </c>
    </row>
    <row r="431" spans="1:8">
      <c r="A431" s="271" t="s">
        <v>1059</v>
      </c>
      <c r="B431" s="271" t="s">
        <v>1060</v>
      </c>
      <c r="C431" s="271" t="s">
        <v>872</v>
      </c>
      <c r="D431" s="271" t="s">
        <v>162</v>
      </c>
      <c r="E431" s="271" t="s">
        <v>100</v>
      </c>
      <c r="F431" s="106">
        <v>0</v>
      </c>
      <c r="G431" s="109"/>
      <c r="H431" s="108">
        <f t="shared" si="7"/>
        <v>0</v>
      </c>
    </row>
    <row r="432" spans="1:8">
      <c r="A432" s="271" t="s">
        <v>1061</v>
      </c>
      <c r="B432" s="271" t="s">
        <v>1062</v>
      </c>
      <c r="C432" s="271" t="s">
        <v>872</v>
      </c>
      <c r="D432" s="271" t="s">
        <v>162</v>
      </c>
      <c r="E432" s="271" t="s">
        <v>100</v>
      </c>
      <c r="F432" s="106">
        <v>6645.23</v>
      </c>
      <c r="G432" s="109"/>
      <c r="H432" s="108">
        <f t="shared" si="7"/>
        <v>6645.23</v>
      </c>
    </row>
    <row r="433" spans="1:8">
      <c r="A433" s="271" t="s">
        <v>1063</v>
      </c>
      <c r="B433" s="271" t="s">
        <v>2179</v>
      </c>
      <c r="C433" s="271" t="s">
        <v>872</v>
      </c>
      <c r="D433" s="271" t="s">
        <v>169</v>
      </c>
      <c r="E433" s="271" t="s">
        <v>1065</v>
      </c>
      <c r="F433" s="106">
        <v>-547124.31999999995</v>
      </c>
      <c r="G433" s="109"/>
      <c r="H433" s="108"/>
    </row>
    <row r="434" spans="1:8">
      <c r="A434" s="271" t="s">
        <v>1066</v>
      </c>
      <c r="B434" s="271" t="s">
        <v>1067</v>
      </c>
      <c r="C434" s="271" t="s">
        <v>872</v>
      </c>
      <c r="D434" s="271" t="s">
        <v>169</v>
      </c>
      <c r="E434" s="271" t="s">
        <v>1068</v>
      </c>
      <c r="F434" s="106">
        <v>-3072576.95</v>
      </c>
      <c r="G434" s="109"/>
      <c r="H434" s="108"/>
    </row>
    <row r="435" spans="1:8">
      <c r="A435" s="271" t="s">
        <v>1069</v>
      </c>
      <c r="B435" s="271" t="s">
        <v>1070</v>
      </c>
      <c r="C435" s="271" t="s">
        <v>872</v>
      </c>
      <c r="D435" s="271" t="s">
        <v>169</v>
      </c>
      <c r="E435" s="271" t="s">
        <v>1071</v>
      </c>
      <c r="F435" s="106">
        <v>-58783662.649999999</v>
      </c>
      <c r="G435" s="109"/>
      <c r="H435" s="108"/>
    </row>
    <row r="436" spans="1:8">
      <c r="A436" s="271" t="s">
        <v>1072</v>
      </c>
      <c r="B436" s="271" t="s">
        <v>1073</v>
      </c>
      <c r="C436" s="271" t="s">
        <v>872</v>
      </c>
      <c r="D436" s="271" t="s">
        <v>157</v>
      </c>
      <c r="E436" s="271" t="s">
        <v>100</v>
      </c>
      <c r="F436" s="106">
        <v>0</v>
      </c>
      <c r="G436" s="109"/>
      <c r="H436" s="108"/>
    </row>
    <row r="437" spans="1:8">
      <c r="A437" s="271" t="s">
        <v>1074</v>
      </c>
      <c r="B437" s="271" t="s">
        <v>1075</v>
      </c>
      <c r="C437" s="271" t="s">
        <v>872</v>
      </c>
      <c r="D437" s="271" t="s">
        <v>162</v>
      </c>
      <c r="E437" s="271" t="s">
        <v>100</v>
      </c>
      <c r="F437" s="106">
        <v>0</v>
      </c>
      <c r="G437" s="109"/>
      <c r="H437" s="108">
        <f t="shared" si="7"/>
        <v>0</v>
      </c>
    </row>
    <row r="438" spans="1:8">
      <c r="A438" s="271" t="s">
        <v>1076</v>
      </c>
      <c r="B438" s="271" t="s">
        <v>1077</v>
      </c>
      <c r="C438" s="271" t="s">
        <v>872</v>
      </c>
      <c r="D438" s="271" t="s">
        <v>162</v>
      </c>
      <c r="E438" s="271" t="s">
        <v>100</v>
      </c>
      <c r="F438" s="106">
        <v>0</v>
      </c>
      <c r="G438" s="109"/>
      <c r="H438" s="108">
        <f t="shared" si="7"/>
        <v>0</v>
      </c>
    </row>
    <row r="439" spans="1:8">
      <c r="A439" s="271" t="s">
        <v>1078</v>
      </c>
      <c r="B439" s="271" t="s">
        <v>1079</v>
      </c>
      <c r="C439" s="271" t="s">
        <v>872</v>
      </c>
      <c r="D439" s="271" t="s">
        <v>162</v>
      </c>
      <c r="E439" s="271" t="s">
        <v>100</v>
      </c>
      <c r="F439" s="106">
        <v>-9220795.5600000005</v>
      </c>
      <c r="G439" s="109"/>
      <c r="H439" s="108">
        <f t="shared" si="7"/>
        <v>-9220795.5600000005</v>
      </c>
    </row>
    <row r="440" spans="1:8">
      <c r="A440" s="271" t="s">
        <v>1080</v>
      </c>
      <c r="B440" s="271" t="s">
        <v>1081</v>
      </c>
      <c r="C440" s="271" t="s">
        <v>872</v>
      </c>
      <c r="D440" s="271" t="s">
        <v>169</v>
      </c>
      <c r="E440" s="271" t="s">
        <v>1082</v>
      </c>
      <c r="F440" s="106">
        <v>-9220795.5600000005</v>
      </c>
      <c r="G440" s="109"/>
      <c r="H440" s="108"/>
    </row>
    <row r="441" spans="1:8">
      <c r="A441" s="271" t="s">
        <v>1083</v>
      </c>
      <c r="B441" s="271" t="s">
        <v>1084</v>
      </c>
      <c r="C441" s="271" t="s">
        <v>872</v>
      </c>
      <c r="D441" s="271" t="s">
        <v>157</v>
      </c>
      <c r="E441" s="271" t="s">
        <v>100</v>
      </c>
      <c r="F441" s="106">
        <v>0</v>
      </c>
      <c r="G441" s="109"/>
      <c r="H441" s="108"/>
    </row>
    <row r="442" spans="1:8">
      <c r="A442" s="271" t="s">
        <v>1085</v>
      </c>
      <c r="B442" s="271" t="s">
        <v>1086</v>
      </c>
      <c r="C442" s="271" t="s">
        <v>872</v>
      </c>
      <c r="D442" s="271" t="s">
        <v>157</v>
      </c>
      <c r="E442" s="271" t="s">
        <v>100</v>
      </c>
      <c r="F442" s="106">
        <v>0</v>
      </c>
      <c r="G442" s="109"/>
      <c r="H442" s="108"/>
    </row>
    <row r="443" spans="1:8">
      <c r="A443" s="271" t="s">
        <v>1087</v>
      </c>
      <c r="B443" s="271" t="s">
        <v>1088</v>
      </c>
      <c r="C443" s="271" t="s">
        <v>872</v>
      </c>
      <c r="D443" s="271" t="s">
        <v>162</v>
      </c>
      <c r="E443" s="271" t="s">
        <v>100</v>
      </c>
      <c r="F443" s="106">
        <v>-485687.13</v>
      </c>
      <c r="G443" s="109"/>
      <c r="H443" s="108">
        <f t="shared" si="7"/>
        <v>-485687.13</v>
      </c>
    </row>
    <row r="444" spans="1:8">
      <c r="A444" s="271" t="s">
        <v>1089</v>
      </c>
      <c r="B444" s="271" t="s">
        <v>1090</v>
      </c>
      <c r="C444" s="271" t="s">
        <v>872</v>
      </c>
      <c r="D444" s="271" t="s">
        <v>169</v>
      </c>
      <c r="E444" s="271" t="s">
        <v>1091</v>
      </c>
      <c r="F444" s="106">
        <v>-485687.13</v>
      </c>
      <c r="G444" s="109"/>
      <c r="H444" s="108"/>
    </row>
    <row r="445" spans="1:8">
      <c r="A445" s="271" t="s">
        <v>1092</v>
      </c>
      <c r="B445" s="271" t="s">
        <v>1093</v>
      </c>
      <c r="C445" s="271" t="s">
        <v>872</v>
      </c>
      <c r="D445" s="271" t="s">
        <v>157</v>
      </c>
      <c r="E445" s="271" t="s">
        <v>100</v>
      </c>
      <c r="F445" s="106">
        <v>0</v>
      </c>
      <c r="G445" s="109"/>
      <c r="H445" s="108"/>
    </row>
    <row r="446" spans="1:8">
      <c r="A446" s="271" t="s">
        <v>1094</v>
      </c>
      <c r="B446" s="271" t="s">
        <v>1095</v>
      </c>
      <c r="C446" s="271" t="s">
        <v>872</v>
      </c>
      <c r="D446" s="271" t="s">
        <v>157</v>
      </c>
      <c r="E446" s="271" t="s">
        <v>100</v>
      </c>
      <c r="F446" s="106">
        <v>0</v>
      </c>
      <c r="G446" s="109"/>
      <c r="H446" s="108">
        <f t="shared" si="7"/>
        <v>0</v>
      </c>
    </row>
    <row r="447" spans="1:8">
      <c r="A447" s="271" t="s">
        <v>1096</v>
      </c>
      <c r="B447" s="271" t="s">
        <v>1097</v>
      </c>
      <c r="C447" s="271" t="s">
        <v>872</v>
      </c>
      <c r="D447" s="271" t="s">
        <v>162</v>
      </c>
      <c r="E447" s="271" t="s">
        <v>100</v>
      </c>
      <c r="F447" s="106">
        <v>0</v>
      </c>
      <c r="G447" s="109"/>
      <c r="H447" s="108">
        <f t="shared" si="7"/>
        <v>0</v>
      </c>
    </row>
    <row r="448" spans="1:8">
      <c r="A448" s="271" t="s">
        <v>1098</v>
      </c>
      <c r="B448" s="271" t="s">
        <v>1099</v>
      </c>
      <c r="C448" s="271" t="s">
        <v>872</v>
      </c>
      <c r="D448" s="271" t="s">
        <v>162</v>
      </c>
      <c r="E448" s="271" t="s">
        <v>100</v>
      </c>
      <c r="F448" s="106">
        <v>0</v>
      </c>
      <c r="G448" s="109"/>
      <c r="H448" s="108">
        <f t="shared" si="7"/>
        <v>0</v>
      </c>
    </row>
    <row r="449" spans="1:8">
      <c r="A449" s="271" t="s">
        <v>1100</v>
      </c>
      <c r="B449" s="271" t="s">
        <v>1101</v>
      </c>
      <c r="C449" s="271" t="s">
        <v>872</v>
      </c>
      <c r="D449" s="271" t="s">
        <v>169</v>
      </c>
      <c r="E449" s="271" t="s">
        <v>1102</v>
      </c>
      <c r="F449" s="106">
        <v>0</v>
      </c>
      <c r="G449" s="109"/>
      <c r="H449" s="108"/>
    </row>
    <row r="450" spans="1:8">
      <c r="A450" s="271" t="s">
        <v>1103</v>
      </c>
      <c r="B450" s="271" t="s">
        <v>1104</v>
      </c>
      <c r="C450" s="271" t="s">
        <v>872</v>
      </c>
      <c r="D450" s="271" t="s">
        <v>157</v>
      </c>
      <c r="E450" s="271" t="s">
        <v>100</v>
      </c>
      <c r="F450" s="106">
        <v>0</v>
      </c>
      <c r="G450" s="109"/>
      <c r="H450" s="108"/>
    </row>
    <row r="451" spans="1:8">
      <c r="A451" s="271" t="s">
        <v>1105</v>
      </c>
      <c r="B451" s="271" t="s">
        <v>155</v>
      </c>
      <c r="C451" s="271" t="s">
        <v>872</v>
      </c>
      <c r="D451" s="271" t="s">
        <v>157</v>
      </c>
      <c r="E451" s="271" t="s">
        <v>100</v>
      </c>
      <c r="F451" s="106">
        <v>0</v>
      </c>
      <c r="G451" s="109"/>
      <c r="H451" s="108"/>
    </row>
    <row r="452" spans="1:8">
      <c r="A452" s="271" t="s">
        <v>1106</v>
      </c>
      <c r="B452" s="271" t="s">
        <v>1107</v>
      </c>
      <c r="C452" s="271" t="s">
        <v>872</v>
      </c>
      <c r="D452" s="271" t="s">
        <v>162</v>
      </c>
      <c r="E452" s="271" t="s">
        <v>100</v>
      </c>
      <c r="F452" s="106">
        <v>-409404.37</v>
      </c>
      <c r="G452" s="109"/>
      <c r="H452" s="108">
        <f t="shared" si="7"/>
        <v>-409404.37</v>
      </c>
    </row>
    <row r="453" spans="1:8">
      <c r="A453" s="271" t="s">
        <v>1108</v>
      </c>
      <c r="B453" s="271" t="s">
        <v>440</v>
      </c>
      <c r="C453" s="271" t="s">
        <v>872</v>
      </c>
      <c r="D453" s="271" t="s">
        <v>162</v>
      </c>
      <c r="E453" s="271" t="s">
        <v>100</v>
      </c>
      <c r="F453" s="106">
        <v>0</v>
      </c>
      <c r="G453" s="109"/>
      <c r="H453" s="108">
        <f t="shared" si="7"/>
        <v>0</v>
      </c>
    </row>
    <row r="454" spans="1:8">
      <c r="A454" s="271" t="s">
        <v>1109</v>
      </c>
      <c r="B454" s="271" t="s">
        <v>1110</v>
      </c>
      <c r="C454" s="271" t="s">
        <v>872</v>
      </c>
      <c r="D454" s="271" t="s">
        <v>162</v>
      </c>
      <c r="E454" s="271" t="s">
        <v>100</v>
      </c>
      <c r="F454" s="106">
        <v>-6126</v>
      </c>
      <c r="G454" s="109"/>
      <c r="H454" s="108">
        <f t="shared" si="7"/>
        <v>-6126</v>
      </c>
    </row>
    <row r="455" spans="1:8">
      <c r="A455" s="271" t="s">
        <v>1111</v>
      </c>
      <c r="B455" s="271" t="s">
        <v>481</v>
      </c>
      <c r="C455" s="271" t="s">
        <v>872</v>
      </c>
      <c r="D455" s="271" t="s">
        <v>162</v>
      </c>
      <c r="E455" s="271" t="s">
        <v>100</v>
      </c>
      <c r="F455" s="106">
        <v>380000</v>
      </c>
      <c r="G455" s="109"/>
      <c r="H455" s="108">
        <f t="shared" si="7"/>
        <v>380000</v>
      </c>
    </row>
    <row r="456" spans="1:8">
      <c r="A456" s="271" t="s">
        <v>1112</v>
      </c>
      <c r="B456" s="271" t="s">
        <v>278</v>
      </c>
      <c r="C456" s="271" t="s">
        <v>872</v>
      </c>
      <c r="D456" s="271" t="s">
        <v>169</v>
      </c>
      <c r="E456" s="271" t="s">
        <v>1113</v>
      </c>
      <c r="F456" s="106">
        <v>-35530.370000000003</v>
      </c>
      <c r="G456" s="109"/>
      <c r="H456" s="108"/>
    </row>
    <row r="457" spans="1:8">
      <c r="A457" s="271" t="s">
        <v>1114</v>
      </c>
      <c r="B457" s="271" t="s">
        <v>1115</v>
      </c>
      <c r="C457" s="271" t="s">
        <v>872</v>
      </c>
      <c r="D457" s="271" t="s">
        <v>157</v>
      </c>
      <c r="E457" s="271" t="s">
        <v>100</v>
      </c>
      <c r="F457" s="106">
        <v>0</v>
      </c>
      <c r="G457" s="109"/>
      <c r="H457" s="108"/>
    </row>
    <row r="458" spans="1:8">
      <c r="A458" s="271" t="s">
        <v>1116</v>
      </c>
      <c r="B458" s="271" t="s">
        <v>220</v>
      </c>
      <c r="C458" s="271" t="s">
        <v>872</v>
      </c>
      <c r="D458" s="271" t="s">
        <v>162</v>
      </c>
      <c r="E458" s="271" t="s">
        <v>100</v>
      </c>
      <c r="F458" s="106">
        <v>0</v>
      </c>
      <c r="G458" s="109"/>
      <c r="H458" s="108">
        <f t="shared" si="7"/>
        <v>0</v>
      </c>
    </row>
    <row r="459" spans="1:8">
      <c r="A459" s="271" t="s">
        <v>1117</v>
      </c>
      <c r="B459" s="271" t="s">
        <v>1118</v>
      </c>
      <c r="C459" s="271" t="s">
        <v>872</v>
      </c>
      <c r="D459" s="271" t="s">
        <v>162</v>
      </c>
      <c r="E459" s="271" t="s">
        <v>100</v>
      </c>
      <c r="F459" s="106">
        <v>5382.29</v>
      </c>
      <c r="G459" s="109"/>
      <c r="H459" s="108">
        <f t="shared" si="7"/>
        <v>5382.29</v>
      </c>
    </row>
    <row r="460" spans="1:8">
      <c r="A460" s="271" t="s">
        <v>1119</v>
      </c>
      <c r="B460" s="271" t="s">
        <v>1120</v>
      </c>
      <c r="C460" s="271" t="s">
        <v>872</v>
      </c>
      <c r="D460" s="271" t="s">
        <v>162</v>
      </c>
      <c r="E460" s="271" t="s">
        <v>100</v>
      </c>
      <c r="F460" s="106">
        <v>0</v>
      </c>
      <c r="G460" s="109"/>
      <c r="H460" s="108">
        <f t="shared" si="7"/>
        <v>0</v>
      </c>
    </row>
    <row r="461" spans="1:8">
      <c r="A461" s="271" t="s">
        <v>1121</v>
      </c>
      <c r="B461" s="271" t="s">
        <v>1122</v>
      </c>
      <c r="C461" s="271" t="s">
        <v>872</v>
      </c>
      <c r="D461" s="271" t="s">
        <v>162</v>
      </c>
      <c r="E461" s="271" t="s">
        <v>100</v>
      </c>
      <c r="F461" s="106">
        <v>0</v>
      </c>
      <c r="G461" s="109"/>
      <c r="H461" s="108">
        <f t="shared" si="7"/>
        <v>0</v>
      </c>
    </row>
    <row r="462" spans="1:8">
      <c r="A462" s="271" t="s">
        <v>1123</v>
      </c>
      <c r="B462" s="271" t="s">
        <v>1124</v>
      </c>
      <c r="C462" s="271" t="s">
        <v>872</v>
      </c>
      <c r="D462" s="271" t="s">
        <v>162</v>
      </c>
      <c r="E462" s="271" t="s">
        <v>100</v>
      </c>
      <c r="F462" s="106">
        <v>0</v>
      </c>
      <c r="G462" s="109"/>
      <c r="H462" s="108">
        <f t="shared" si="7"/>
        <v>0</v>
      </c>
    </row>
    <row r="463" spans="1:8">
      <c r="A463" s="271" t="s">
        <v>1125</v>
      </c>
      <c r="B463" s="271" t="s">
        <v>1126</v>
      </c>
      <c r="C463" s="271" t="s">
        <v>872</v>
      </c>
      <c r="D463" s="271" t="s">
        <v>162</v>
      </c>
      <c r="E463" s="271" t="s">
        <v>100</v>
      </c>
      <c r="F463" s="106">
        <v>0</v>
      </c>
      <c r="G463" s="109"/>
      <c r="H463" s="108">
        <f t="shared" si="7"/>
        <v>0</v>
      </c>
    </row>
    <row r="464" spans="1:8">
      <c r="A464" s="271" t="s">
        <v>1127</v>
      </c>
      <c r="B464" s="271" t="s">
        <v>1128</v>
      </c>
      <c r="C464" s="271" t="s">
        <v>872</v>
      </c>
      <c r="D464" s="271" t="s">
        <v>162</v>
      </c>
      <c r="E464" s="271" t="s">
        <v>100</v>
      </c>
      <c r="F464" s="106">
        <v>0</v>
      </c>
      <c r="G464" s="109"/>
      <c r="H464" s="108">
        <f t="shared" si="7"/>
        <v>0</v>
      </c>
    </row>
    <row r="465" spans="1:8">
      <c r="A465" s="271" t="s">
        <v>1129</v>
      </c>
      <c r="B465" s="271" t="s">
        <v>1130</v>
      </c>
      <c r="C465" s="271" t="s">
        <v>872</v>
      </c>
      <c r="D465" s="271" t="s">
        <v>162</v>
      </c>
      <c r="E465" s="271" t="s">
        <v>100</v>
      </c>
      <c r="F465" s="106">
        <v>0</v>
      </c>
      <c r="G465" s="109"/>
      <c r="H465" s="108">
        <f t="shared" si="7"/>
        <v>0</v>
      </c>
    </row>
    <row r="466" spans="1:8">
      <c r="A466" s="271" t="s">
        <v>1131</v>
      </c>
      <c r="B466" s="271" t="s">
        <v>1132</v>
      </c>
      <c r="C466" s="271" t="s">
        <v>872</v>
      </c>
      <c r="D466" s="271" t="s">
        <v>162</v>
      </c>
      <c r="E466" s="271" t="s">
        <v>100</v>
      </c>
      <c r="F466" s="106">
        <v>0</v>
      </c>
      <c r="G466" s="109"/>
      <c r="H466" s="108">
        <f t="shared" si="7"/>
        <v>0</v>
      </c>
    </row>
    <row r="467" spans="1:8">
      <c r="A467" s="271" t="s">
        <v>1133</v>
      </c>
      <c r="B467" s="271" t="s">
        <v>1134</v>
      </c>
      <c r="C467" s="271" t="s">
        <v>872</v>
      </c>
      <c r="D467" s="271" t="s">
        <v>162</v>
      </c>
      <c r="E467" s="271" t="s">
        <v>100</v>
      </c>
      <c r="F467" s="106">
        <v>0</v>
      </c>
      <c r="G467" s="109"/>
      <c r="H467" s="108">
        <f t="shared" si="7"/>
        <v>0</v>
      </c>
    </row>
    <row r="468" spans="1:8">
      <c r="A468" s="271" t="s">
        <v>1135</v>
      </c>
      <c r="B468" s="271" t="s">
        <v>1136</v>
      </c>
      <c r="C468" s="271" t="s">
        <v>872</v>
      </c>
      <c r="D468" s="271" t="s">
        <v>162</v>
      </c>
      <c r="E468" s="271" t="s">
        <v>100</v>
      </c>
      <c r="F468" s="106">
        <v>0</v>
      </c>
      <c r="G468" s="109"/>
      <c r="H468" s="108">
        <f t="shared" si="7"/>
        <v>0</v>
      </c>
    </row>
    <row r="469" spans="1:8">
      <c r="A469" s="271" t="s">
        <v>1137</v>
      </c>
      <c r="B469" s="271" t="s">
        <v>1138</v>
      </c>
      <c r="C469" s="271" t="s">
        <v>872</v>
      </c>
      <c r="D469" s="271" t="s">
        <v>162</v>
      </c>
      <c r="E469" s="271" t="s">
        <v>100</v>
      </c>
      <c r="F469" s="106">
        <v>0</v>
      </c>
      <c r="G469" s="109"/>
      <c r="H469" s="108">
        <f t="shared" si="7"/>
        <v>0</v>
      </c>
    </row>
    <row r="470" spans="1:8">
      <c r="A470" s="271" t="s">
        <v>1139</v>
      </c>
      <c r="B470" s="271" t="s">
        <v>1140</v>
      </c>
      <c r="C470" s="271" t="s">
        <v>872</v>
      </c>
      <c r="D470" s="271" t="s">
        <v>162</v>
      </c>
      <c r="E470" s="271" t="s">
        <v>100</v>
      </c>
      <c r="F470" s="106">
        <v>0</v>
      </c>
      <c r="G470" s="109"/>
      <c r="H470" s="108">
        <f t="shared" si="7"/>
        <v>0</v>
      </c>
    </row>
    <row r="471" spans="1:8">
      <c r="A471" s="271" t="s">
        <v>1141</v>
      </c>
      <c r="B471" s="271" t="s">
        <v>1142</v>
      </c>
      <c r="C471" s="271" t="s">
        <v>872</v>
      </c>
      <c r="D471" s="271" t="s">
        <v>162</v>
      </c>
      <c r="E471" s="271" t="s">
        <v>100</v>
      </c>
      <c r="F471" s="106">
        <v>0</v>
      </c>
      <c r="G471" s="109"/>
      <c r="H471" s="108">
        <f t="shared" si="7"/>
        <v>0</v>
      </c>
    </row>
    <row r="472" spans="1:8">
      <c r="A472" s="271" t="s">
        <v>1143</v>
      </c>
      <c r="B472" s="271" t="s">
        <v>1144</v>
      </c>
      <c r="C472" s="271" t="s">
        <v>872</v>
      </c>
      <c r="D472" s="271" t="s">
        <v>162</v>
      </c>
      <c r="E472" s="271" t="s">
        <v>100</v>
      </c>
      <c r="F472" s="106">
        <v>0</v>
      </c>
      <c r="G472" s="109"/>
      <c r="H472" s="108">
        <f t="shared" si="7"/>
        <v>0</v>
      </c>
    </row>
    <row r="473" spans="1:8">
      <c r="A473" s="271" t="s">
        <v>1145</v>
      </c>
      <c r="B473" s="271" t="s">
        <v>1146</v>
      </c>
      <c r="C473" s="271" t="s">
        <v>872</v>
      </c>
      <c r="D473" s="271" t="s">
        <v>162</v>
      </c>
      <c r="E473" s="271" t="s">
        <v>100</v>
      </c>
      <c r="F473" s="106">
        <v>0</v>
      </c>
      <c r="G473" s="109"/>
      <c r="H473" s="108">
        <f t="shared" ref="H473:H536" si="8">SUM(F473:G473)</f>
        <v>0</v>
      </c>
    </row>
    <row r="474" spans="1:8">
      <c r="A474" s="271" t="s">
        <v>1147</v>
      </c>
      <c r="B474" s="271" t="s">
        <v>1148</v>
      </c>
      <c r="C474" s="271" t="s">
        <v>872</v>
      </c>
      <c r="D474" s="271" t="s">
        <v>162</v>
      </c>
      <c r="E474" s="271" t="s">
        <v>100</v>
      </c>
      <c r="F474" s="106">
        <v>0</v>
      </c>
      <c r="G474" s="109"/>
      <c r="H474" s="108">
        <f t="shared" si="8"/>
        <v>0</v>
      </c>
    </row>
    <row r="475" spans="1:8">
      <c r="A475" s="271" t="s">
        <v>1149</v>
      </c>
      <c r="B475" s="271" t="s">
        <v>1150</v>
      </c>
      <c r="C475" s="271" t="s">
        <v>872</v>
      </c>
      <c r="D475" s="271" t="s">
        <v>162</v>
      </c>
      <c r="E475" s="271" t="s">
        <v>100</v>
      </c>
      <c r="F475" s="106">
        <v>0</v>
      </c>
      <c r="G475" s="109"/>
      <c r="H475" s="108">
        <f t="shared" si="8"/>
        <v>0</v>
      </c>
    </row>
    <row r="476" spans="1:8">
      <c r="A476" s="271" t="s">
        <v>1151</v>
      </c>
      <c r="B476" s="271" t="s">
        <v>1152</v>
      </c>
      <c r="C476" s="271" t="s">
        <v>872</v>
      </c>
      <c r="D476" s="271" t="s">
        <v>169</v>
      </c>
      <c r="E476" s="271" t="s">
        <v>1153</v>
      </c>
      <c r="F476" s="106">
        <v>5382.29</v>
      </c>
      <c r="G476" s="109"/>
      <c r="H476" s="108"/>
    </row>
    <row r="477" spans="1:8">
      <c r="A477" s="271" t="s">
        <v>1154</v>
      </c>
      <c r="B477" s="271" t="s">
        <v>1155</v>
      </c>
      <c r="C477" s="271" t="s">
        <v>872</v>
      </c>
      <c r="D477" s="271" t="s">
        <v>169</v>
      </c>
      <c r="E477" s="271" t="s">
        <v>1156</v>
      </c>
      <c r="F477" s="106">
        <v>-30148.080000000002</v>
      </c>
      <c r="G477" s="109"/>
      <c r="H477" s="108"/>
    </row>
    <row r="478" spans="1:8">
      <c r="A478" s="271" t="s">
        <v>1157</v>
      </c>
      <c r="B478" s="271" t="s">
        <v>1158</v>
      </c>
      <c r="C478" s="271" t="s">
        <v>872</v>
      </c>
      <c r="D478" s="271" t="s">
        <v>169</v>
      </c>
      <c r="E478" s="271" t="s">
        <v>1159</v>
      </c>
      <c r="F478" s="106">
        <v>-30148.080000000002</v>
      </c>
      <c r="G478" s="109"/>
      <c r="H478" s="108"/>
    </row>
    <row r="479" spans="1:8">
      <c r="A479" s="271" t="s">
        <v>1160</v>
      </c>
      <c r="B479" s="271" t="s">
        <v>1161</v>
      </c>
      <c r="C479" s="271" t="s">
        <v>872</v>
      </c>
      <c r="D479" s="271" t="s">
        <v>157</v>
      </c>
      <c r="E479" s="271" t="s">
        <v>100</v>
      </c>
      <c r="F479" s="106">
        <v>0</v>
      </c>
      <c r="G479" s="109"/>
      <c r="H479" s="108"/>
    </row>
    <row r="480" spans="1:8">
      <c r="A480" s="271" t="s">
        <v>1162</v>
      </c>
      <c r="B480" s="271" t="s">
        <v>1163</v>
      </c>
      <c r="C480" s="271" t="s">
        <v>872</v>
      </c>
      <c r="D480" s="271" t="s">
        <v>162</v>
      </c>
      <c r="E480" s="271" t="s">
        <v>100</v>
      </c>
      <c r="F480" s="106">
        <v>-195</v>
      </c>
      <c r="G480" s="109"/>
      <c r="H480" s="108">
        <f t="shared" si="8"/>
        <v>-195</v>
      </c>
    </row>
    <row r="481" spans="1:8">
      <c r="A481" s="271" t="s">
        <v>1164</v>
      </c>
      <c r="B481" s="271" t="s">
        <v>1165</v>
      </c>
      <c r="C481" s="271" t="s">
        <v>872</v>
      </c>
      <c r="D481" s="271" t="s">
        <v>162</v>
      </c>
      <c r="E481" s="271" t="s">
        <v>100</v>
      </c>
      <c r="F481" s="106">
        <v>0</v>
      </c>
      <c r="G481" s="109"/>
      <c r="H481" s="108">
        <f t="shared" si="8"/>
        <v>0</v>
      </c>
    </row>
    <row r="482" spans="1:8">
      <c r="A482" s="271" t="s">
        <v>1166</v>
      </c>
      <c r="B482" s="271" t="s">
        <v>1167</v>
      </c>
      <c r="C482" s="271" t="s">
        <v>872</v>
      </c>
      <c r="D482" s="271" t="s">
        <v>162</v>
      </c>
      <c r="E482" s="271" t="s">
        <v>100</v>
      </c>
      <c r="F482" s="106">
        <v>0</v>
      </c>
      <c r="G482" s="109"/>
      <c r="H482" s="108">
        <f t="shared" si="8"/>
        <v>0</v>
      </c>
    </row>
    <row r="483" spans="1:8">
      <c r="A483" s="271" t="s">
        <v>1168</v>
      </c>
      <c r="B483" s="271" t="s">
        <v>1169</v>
      </c>
      <c r="C483" s="271" t="s">
        <v>872</v>
      </c>
      <c r="D483" s="271" t="s">
        <v>162</v>
      </c>
      <c r="E483" s="271" t="s">
        <v>100</v>
      </c>
      <c r="F483" s="106">
        <v>0</v>
      </c>
      <c r="G483" s="109"/>
      <c r="H483" s="108">
        <f t="shared" si="8"/>
        <v>0</v>
      </c>
    </row>
    <row r="484" spans="1:8">
      <c r="A484" s="271" t="s">
        <v>1170</v>
      </c>
      <c r="B484" s="271" t="s">
        <v>1171</v>
      </c>
      <c r="C484" s="271" t="s">
        <v>872</v>
      </c>
      <c r="D484" s="271" t="s">
        <v>162</v>
      </c>
      <c r="E484" s="271" t="s">
        <v>100</v>
      </c>
      <c r="F484" s="106">
        <v>-1990</v>
      </c>
      <c r="G484" s="109"/>
      <c r="H484" s="108">
        <f t="shared" si="8"/>
        <v>-1990</v>
      </c>
    </row>
    <row r="485" spans="1:8">
      <c r="A485" s="271" t="s">
        <v>1172</v>
      </c>
      <c r="B485" s="271" t="s">
        <v>1173</v>
      </c>
      <c r="C485" s="271" t="s">
        <v>872</v>
      </c>
      <c r="D485" s="271" t="s">
        <v>162</v>
      </c>
      <c r="E485" s="271" t="s">
        <v>100</v>
      </c>
      <c r="F485" s="106">
        <v>-640</v>
      </c>
      <c r="G485" s="109"/>
      <c r="H485" s="108">
        <f t="shared" si="8"/>
        <v>-640</v>
      </c>
    </row>
    <row r="486" spans="1:8">
      <c r="A486" s="271" t="s">
        <v>1174</v>
      </c>
      <c r="B486" s="271" t="s">
        <v>1175</v>
      </c>
      <c r="C486" s="271" t="s">
        <v>872</v>
      </c>
      <c r="D486" s="271" t="s">
        <v>162</v>
      </c>
      <c r="E486" s="271" t="s">
        <v>100</v>
      </c>
      <c r="F486" s="106">
        <v>-1155</v>
      </c>
      <c r="G486" s="109"/>
      <c r="H486" s="108">
        <f t="shared" si="8"/>
        <v>-1155</v>
      </c>
    </row>
    <row r="487" spans="1:8">
      <c r="A487" s="271" t="s">
        <v>1176</v>
      </c>
      <c r="B487" s="271" t="s">
        <v>1177</v>
      </c>
      <c r="C487" s="271" t="s">
        <v>872</v>
      </c>
      <c r="D487" s="271" t="s">
        <v>162</v>
      </c>
      <c r="E487" s="271" t="s">
        <v>100</v>
      </c>
      <c r="F487" s="106">
        <v>-247</v>
      </c>
      <c r="G487" s="109"/>
      <c r="H487" s="108">
        <f t="shared" si="8"/>
        <v>-247</v>
      </c>
    </row>
    <row r="488" spans="1:8">
      <c r="A488" s="271" t="s">
        <v>1178</v>
      </c>
      <c r="B488" s="271" t="s">
        <v>1179</v>
      </c>
      <c r="C488" s="271" t="s">
        <v>872</v>
      </c>
      <c r="D488" s="271" t="s">
        <v>162</v>
      </c>
      <c r="E488" s="271" t="s">
        <v>100</v>
      </c>
      <c r="F488" s="106">
        <v>5897.36</v>
      </c>
      <c r="G488" s="109"/>
      <c r="H488" s="108">
        <f t="shared" si="8"/>
        <v>5897.36</v>
      </c>
    </row>
    <row r="489" spans="1:8">
      <c r="A489" s="271" t="s">
        <v>1180</v>
      </c>
      <c r="B489" s="271" t="s">
        <v>1181</v>
      </c>
      <c r="C489" s="271" t="s">
        <v>872</v>
      </c>
      <c r="D489" s="271" t="s">
        <v>162</v>
      </c>
      <c r="E489" s="271" t="s">
        <v>100</v>
      </c>
      <c r="F489" s="106">
        <v>-6645.23</v>
      </c>
      <c r="G489" s="109"/>
      <c r="H489" s="108">
        <f t="shared" si="8"/>
        <v>-6645.23</v>
      </c>
    </row>
    <row r="490" spans="1:8">
      <c r="A490" s="271" t="s">
        <v>1182</v>
      </c>
      <c r="B490" s="271" t="s">
        <v>1183</v>
      </c>
      <c r="C490" s="271" t="s">
        <v>872</v>
      </c>
      <c r="D490" s="271" t="s">
        <v>162</v>
      </c>
      <c r="E490" s="271" t="s">
        <v>100</v>
      </c>
      <c r="F490" s="106">
        <v>-71680.929999999993</v>
      </c>
      <c r="G490" s="109"/>
      <c r="H490" s="108">
        <f t="shared" si="8"/>
        <v>-71680.929999999993</v>
      </c>
    </row>
    <row r="491" spans="1:8">
      <c r="A491" s="271" t="s">
        <v>1186</v>
      </c>
      <c r="B491" s="271" t="s">
        <v>1187</v>
      </c>
      <c r="C491" s="271" t="s">
        <v>872</v>
      </c>
      <c r="D491" s="271" t="s">
        <v>162</v>
      </c>
      <c r="E491" s="271" t="s">
        <v>100</v>
      </c>
      <c r="F491" s="106">
        <v>0</v>
      </c>
      <c r="G491" s="109"/>
      <c r="H491" s="108">
        <f t="shared" si="8"/>
        <v>0</v>
      </c>
    </row>
    <row r="492" spans="1:8">
      <c r="A492" s="271" t="s">
        <v>1188</v>
      </c>
      <c r="B492" s="271" t="s">
        <v>2180</v>
      </c>
      <c r="C492" s="271" t="s">
        <v>872</v>
      </c>
      <c r="D492" s="271" t="s">
        <v>162</v>
      </c>
      <c r="E492" s="271" t="s">
        <v>100</v>
      </c>
      <c r="F492" s="106">
        <v>0</v>
      </c>
      <c r="G492" s="109"/>
      <c r="H492" s="108">
        <f t="shared" si="8"/>
        <v>0</v>
      </c>
    </row>
    <row r="493" spans="1:8">
      <c r="A493" s="271" t="s">
        <v>1190</v>
      </c>
      <c r="B493" s="271" t="s">
        <v>1191</v>
      </c>
      <c r="C493" s="271" t="s">
        <v>872</v>
      </c>
      <c r="D493" s="271" t="s">
        <v>162</v>
      </c>
      <c r="E493" s="271" t="s">
        <v>100</v>
      </c>
      <c r="F493" s="106">
        <v>-238079.13</v>
      </c>
      <c r="G493" s="109"/>
      <c r="H493" s="108">
        <f t="shared" si="8"/>
        <v>-238079.13</v>
      </c>
    </row>
    <row r="494" spans="1:8">
      <c r="A494" s="271" t="s">
        <v>1192</v>
      </c>
      <c r="B494" s="271" t="s">
        <v>1193</v>
      </c>
      <c r="C494" s="271" t="s">
        <v>872</v>
      </c>
      <c r="D494" s="271" t="s">
        <v>162</v>
      </c>
      <c r="E494" s="271" t="s">
        <v>100</v>
      </c>
      <c r="F494" s="106">
        <v>4150</v>
      </c>
      <c r="G494" s="109"/>
      <c r="H494" s="108">
        <f t="shared" si="8"/>
        <v>4150</v>
      </c>
    </row>
    <row r="495" spans="1:8">
      <c r="A495" s="271" t="s">
        <v>1194</v>
      </c>
      <c r="B495" s="271" t="s">
        <v>2181</v>
      </c>
      <c r="C495" s="271" t="s">
        <v>872</v>
      </c>
      <c r="D495" s="271" t="s">
        <v>162</v>
      </c>
      <c r="E495" s="271" t="s">
        <v>100</v>
      </c>
      <c r="F495" s="106">
        <v>0</v>
      </c>
      <c r="G495" s="109"/>
      <c r="H495" s="108">
        <f t="shared" si="8"/>
        <v>0</v>
      </c>
    </row>
    <row r="496" spans="1:8">
      <c r="A496" s="271" t="s">
        <v>1196</v>
      </c>
      <c r="B496" s="271" t="s">
        <v>2206</v>
      </c>
      <c r="C496" s="271" t="s">
        <v>872</v>
      </c>
      <c r="D496" s="271" t="s">
        <v>162</v>
      </c>
      <c r="E496" s="271" t="s">
        <v>100</v>
      </c>
      <c r="F496" s="106">
        <v>-93089</v>
      </c>
      <c r="G496" s="109"/>
      <c r="H496" s="108">
        <f t="shared" si="8"/>
        <v>-93089</v>
      </c>
    </row>
    <row r="497" spans="1:8">
      <c r="A497" s="271" t="s">
        <v>1200</v>
      </c>
      <c r="B497" s="271" t="s">
        <v>1201</v>
      </c>
      <c r="C497" s="271" t="s">
        <v>872</v>
      </c>
      <c r="D497" s="271" t="s">
        <v>169</v>
      </c>
      <c r="E497" s="271" t="s">
        <v>1202</v>
      </c>
      <c r="F497" s="106">
        <v>-403673.93</v>
      </c>
      <c r="G497" s="109"/>
      <c r="H497" s="108"/>
    </row>
    <row r="498" spans="1:8">
      <c r="A498" s="271" t="s">
        <v>1203</v>
      </c>
      <c r="B498" s="271" t="s">
        <v>1204</v>
      </c>
      <c r="C498" s="271" t="s">
        <v>872</v>
      </c>
      <c r="D498" s="271" t="s">
        <v>157</v>
      </c>
      <c r="E498" s="271" t="s">
        <v>100</v>
      </c>
      <c r="F498" s="106">
        <v>0</v>
      </c>
      <c r="G498" s="109"/>
      <c r="H498" s="108"/>
    </row>
    <row r="499" spans="1:8">
      <c r="A499" s="271" t="s">
        <v>1205</v>
      </c>
      <c r="B499" s="271" t="s">
        <v>1206</v>
      </c>
      <c r="C499" s="271" t="s">
        <v>872</v>
      </c>
      <c r="D499" s="271" t="s">
        <v>162</v>
      </c>
      <c r="E499" s="271" t="s">
        <v>100</v>
      </c>
      <c r="F499" s="106">
        <v>-451037.86</v>
      </c>
      <c r="G499" s="109"/>
      <c r="H499" s="108">
        <f t="shared" si="8"/>
        <v>-451037.86</v>
      </c>
    </row>
    <row r="500" spans="1:8">
      <c r="A500" s="271" t="s">
        <v>1207</v>
      </c>
      <c r="B500" s="271" t="s">
        <v>1208</v>
      </c>
      <c r="C500" s="271" t="s">
        <v>872</v>
      </c>
      <c r="D500" s="271" t="s">
        <v>169</v>
      </c>
      <c r="E500" s="271" t="s">
        <v>1209</v>
      </c>
      <c r="F500" s="106">
        <v>-451037.86</v>
      </c>
      <c r="G500" s="109"/>
      <c r="H500" s="108"/>
    </row>
    <row r="501" spans="1:8">
      <c r="A501" s="271" t="s">
        <v>1210</v>
      </c>
      <c r="B501" s="271" t="s">
        <v>1211</v>
      </c>
      <c r="C501" s="271" t="s">
        <v>872</v>
      </c>
      <c r="D501" s="271" t="s">
        <v>157</v>
      </c>
      <c r="E501" s="271" t="s">
        <v>100</v>
      </c>
      <c r="F501" s="106">
        <v>0</v>
      </c>
      <c r="G501" s="109"/>
      <c r="H501" s="108"/>
    </row>
    <row r="502" spans="1:8">
      <c r="A502" s="271" t="s">
        <v>1212</v>
      </c>
      <c r="B502" s="271" t="s">
        <v>1213</v>
      </c>
      <c r="C502" s="271" t="s">
        <v>872</v>
      </c>
      <c r="D502" s="271" t="s">
        <v>162</v>
      </c>
      <c r="E502" s="271" t="s">
        <v>100</v>
      </c>
      <c r="F502" s="106">
        <v>18368</v>
      </c>
      <c r="G502" s="109"/>
      <c r="H502" s="108">
        <f t="shared" si="8"/>
        <v>18368</v>
      </c>
    </row>
    <row r="503" spans="1:8">
      <c r="A503" s="271" t="s">
        <v>1214</v>
      </c>
      <c r="B503" s="271" t="s">
        <v>1215</v>
      </c>
      <c r="C503" s="271" t="s">
        <v>872</v>
      </c>
      <c r="D503" s="271" t="s">
        <v>162</v>
      </c>
      <c r="E503" s="271" t="s">
        <v>100</v>
      </c>
      <c r="F503" s="106">
        <v>5743</v>
      </c>
      <c r="G503" s="109"/>
      <c r="H503" s="108">
        <f t="shared" si="8"/>
        <v>5743</v>
      </c>
    </row>
    <row r="504" spans="1:8">
      <c r="A504" s="271" t="s">
        <v>1216</v>
      </c>
      <c r="B504" s="271" t="s">
        <v>1217</v>
      </c>
      <c r="C504" s="271" t="s">
        <v>872</v>
      </c>
      <c r="D504" s="271" t="s">
        <v>162</v>
      </c>
      <c r="E504" s="271" t="s">
        <v>100</v>
      </c>
      <c r="F504" s="106">
        <v>-16000.95</v>
      </c>
      <c r="G504" s="109"/>
      <c r="H504" s="108">
        <f t="shared" si="8"/>
        <v>-16000.95</v>
      </c>
    </row>
    <row r="505" spans="1:8">
      <c r="A505" s="271" t="s">
        <v>1218</v>
      </c>
      <c r="B505" s="271" t="s">
        <v>1219</v>
      </c>
      <c r="C505" s="271" t="s">
        <v>872</v>
      </c>
      <c r="D505" s="271" t="s">
        <v>162</v>
      </c>
      <c r="E505" s="271" t="s">
        <v>100</v>
      </c>
      <c r="F505" s="106">
        <v>-26694.3</v>
      </c>
      <c r="G505" s="109"/>
      <c r="H505" s="108">
        <f t="shared" si="8"/>
        <v>-26694.3</v>
      </c>
    </row>
    <row r="506" spans="1:8">
      <c r="A506" s="271" t="s">
        <v>1220</v>
      </c>
      <c r="B506" s="271" t="s">
        <v>1221</v>
      </c>
      <c r="C506" s="271" t="s">
        <v>872</v>
      </c>
      <c r="D506" s="271" t="s">
        <v>162</v>
      </c>
      <c r="E506" s="271" t="s">
        <v>100</v>
      </c>
      <c r="F506" s="106">
        <v>-101962.31</v>
      </c>
      <c r="G506" s="109"/>
      <c r="H506" s="108">
        <f t="shared" si="8"/>
        <v>-101962.31</v>
      </c>
    </row>
    <row r="507" spans="1:8">
      <c r="A507" s="271" t="s">
        <v>1222</v>
      </c>
      <c r="B507" s="271" t="s">
        <v>1223</v>
      </c>
      <c r="C507" s="271" t="s">
        <v>872</v>
      </c>
      <c r="D507" s="271" t="s">
        <v>162</v>
      </c>
      <c r="E507" s="271" t="s">
        <v>100</v>
      </c>
      <c r="F507" s="106">
        <v>-115671.64</v>
      </c>
      <c r="G507" s="109"/>
      <c r="H507" s="108">
        <f t="shared" si="8"/>
        <v>-115671.64</v>
      </c>
    </row>
    <row r="508" spans="1:8">
      <c r="A508" s="271" t="s">
        <v>1224</v>
      </c>
      <c r="B508" s="271" t="s">
        <v>1225</v>
      </c>
      <c r="C508" s="271" t="s">
        <v>872</v>
      </c>
      <c r="D508" s="271" t="s">
        <v>162</v>
      </c>
      <c r="E508" s="271" t="s">
        <v>100</v>
      </c>
      <c r="F508" s="106">
        <v>433.2</v>
      </c>
      <c r="G508" s="109"/>
      <c r="H508" s="108">
        <f t="shared" si="8"/>
        <v>433.2</v>
      </c>
    </row>
    <row r="509" spans="1:8">
      <c r="A509" s="271" t="s">
        <v>1226</v>
      </c>
      <c r="B509" s="271" t="s">
        <v>1227</v>
      </c>
      <c r="C509" s="271" t="s">
        <v>872</v>
      </c>
      <c r="D509" s="271" t="s">
        <v>162</v>
      </c>
      <c r="E509" s="271" t="s">
        <v>100</v>
      </c>
      <c r="F509" s="106">
        <v>0</v>
      </c>
      <c r="G509" s="109"/>
      <c r="H509" s="108">
        <f t="shared" si="8"/>
        <v>0</v>
      </c>
    </row>
    <row r="510" spans="1:8">
      <c r="A510" s="271" t="s">
        <v>1228</v>
      </c>
      <c r="B510" s="271" t="s">
        <v>1229</v>
      </c>
      <c r="C510" s="271" t="s">
        <v>872</v>
      </c>
      <c r="D510" s="271" t="s">
        <v>169</v>
      </c>
      <c r="E510" s="271" t="s">
        <v>1230</v>
      </c>
      <c r="F510" s="106">
        <v>-235785</v>
      </c>
      <c r="G510" s="109"/>
      <c r="H510" s="108"/>
    </row>
    <row r="511" spans="1:8">
      <c r="A511" s="271" t="s">
        <v>1231</v>
      </c>
      <c r="B511" s="271" t="s">
        <v>1232</v>
      </c>
      <c r="C511" s="271" t="s">
        <v>872</v>
      </c>
      <c r="D511" s="271" t="s">
        <v>157</v>
      </c>
      <c r="E511" s="271" t="s">
        <v>100</v>
      </c>
      <c r="F511" s="106">
        <v>0</v>
      </c>
      <c r="G511" s="109"/>
      <c r="H511" s="108"/>
    </row>
    <row r="512" spans="1:8">
      <c r="A512" s="271" t="s">
        <v>1233</v>
      </c>
      <c r="B512" s="271" t="s">
        <v>1234</v>
      </c>
      <c r="C512" s="271" t="s">
        <v>872</v>
      </c>
      <c r="D512" s="271" t="s">
        <v>162</v>
      </c>
      <c r="E512" s="271" t="s">
        <v>100</v>
      </c>
      <c r="F512" s="106">
        <v>-6464.4</v>
      </c>
      <c r="G512" s="109"/>
      <c r="H512" s="108">
        <f t="shared" si="8"/>
        <v>-6464.4</v>
      </c>
    </row>
    <row r="513" spans="1:8">
      <c r="A513" s="271" t="s">
        <v>1235</v>
      </c>
      <c r="B513" s="271" t="s">
        <v>1236</v>
      </c>
      <c r="C513" s="271" t="s">
        <v>872</v>
      </c>
      <c r="D513" s="271" t="s">
        <v>162</v>
      </c>
      <c r="E513" s="271" t="s">
        <v>100</v>
      </c>
      <c r="F513" s="106">
        <v>0</v>
      </c>
      <c r="G513" s="109"/>
      <c r="H513" s="108">
        <f t="shared" si="8"/>
        <v>0</v>
      </c>
    </row>
    <row r="514" spans="1:8">
      <c r="A514" s="271" t="s">
        <v>1237</v>
      </c>
      <c r="B514" s="271" t="s">
        <v>1238</v>
      </c>
      <c r="C514" s="271" t="s">
        <v>872</v>
      </c>
      <c r="D514" s="271" t="s">
        <v>162</v>
      </c>
      <c r="E514" s="271" t="s">
        <v>100</v>
      </c>
      <c r="F514" s="106">
        <v>-4387.84</v>
      </c>
      <c r="G514" s="109"/>
      <c r="H514" s="108">
        <f t="shared" si="8"/>
        <v>-4387.84</v>
      </c>
    </row>
    <row r="515" spans="1:8">
      <c r="A515" s="271" t="s">
        <v>1239</v>
      </c>
      <c r="B515" s="271" t="s">
        <v>1240</v>
      </c>
      <c r="C515" s="271" t="s">
        <v>872</v>
      </c>
      <c r="D515" s="271" t="s">
        <v>162</v>
      </c>
      <c r="E515" s="271" t="s">
        <v>100</v>
      </c>
      <c r="F515" s="106">
        <v>-180189.08</v>
      </c>
      <c r="G515" s="109"/>
      <c r="H515" s="108">
        <f t="shared" si="8"/>
        <v>-180189.08</v>
      </c>
    </row>
    <row r="516" spans="1:8">
      <c r="A516" s="271" t="s">
        <v>1241</v>
      </c>
      <c r="B516" s="271" t="s">
        <v>2207</v>
      </c>
      <c r="C516" s="271" t="s">
        <v>872</v>
      </c>
      <c r="D516" s="271" t="s">
        <v>162</v>
      </c>
      <c r="E516" s="271" t="s">
        <v>100</v>
      </c>
      <c r="F516" s="106">
        <v>0</v>
      </c>
      <c r="G516" s="109"/>
      <c r="H516" s="108">
        <f t="shared" si="8"/>
        <v>0</v>
      </c>
    </row>
    <row r="517" spans="1:8">
      <c r="A517" s="271" t="s">
        <v>1243</v>
      </c>
      <c r="B517" s="271" t="s">
        <v>1244</v>
      </c>
      <c r="C517" s="271" t="s">
        <v>872</v>
      </c>
      <c r="D517" s="271" t="s">
        <v>162</v>
      </c>
      <c r="E517" s="271" t="s">
        <v>100</v>
      </c>
      <c r="F517" s="106">
        <v>0</v>
      </c>
      <c r="G517" s="109"/>
      <c r="H517" s="108">
        <f t="shared" si="8"/>
        <v>0</v>
      </c>
    </row>
    <row r="518" spans="1:8">
      <c r="A518" s="271" t="s">
        <v>1245</v>
      </c>
      <c r="B518" s="271" t="s">
        <v>1246</v>
      </c>
      <c r="C518" s="271" t="s">
        <v>872</v>
      </c>
      <c r="D518" s="271" t="s">
        <v>162</v>
      </c>
      <c r="E518" s="271" t="s">
        <v>100</v>
      </c>
      <c r="F518" s="106">
        <v>-149375</v>
      </c>
      <c r="G518" s="109"/>
      <c r="H518" s="108">
        <f t="shared" si="8"/>
        <v>-149375</v>
      </c>
    </row>
    <row r="519" spans="1:8">
      <c r="A519" s="271" t="s">
        <v>1247</v>
      </c>
      <c r="B519" s="271" t="s">
        <v>1248</v>
      </c>
      <c r="C519" s="271" t="s">
        <v>872</v>
      </c>
      <c r="D519" s="271" t="s">
        <v>162</v>
      </c>
      <c r="E519" s="271" t="s">
        <v>100</v>
      </c>
      <c r="F519" s="106">
        <v>0</v>
      </c>
      <c r="G519" s="109"/>
      <c r="H519" s="108">
        <f t="shared" si="8"/>
        <v>0</v>
      </c>
    </row>
    <row r="520" spans="1:8">
      <c r="A520" s="271" t="s">
        <v>1249</v>
      </c>
      <c r="B520" s="271" t="s">
        <v>1250</v>
      </c>
      <c r="C520" s="271" t="s">
        <v>872</v>
      </c>
      <c r="D520" s="271" t="s">
        <v>169</v>
      </c>
      <c r="E520" s="271" t="s">
        <v>1251</v>
      </c>
      <c r="F520" s="106">
        <v>-340416.32</v>
      </c>
      <c r="G520" s="109"/>
      <c r="H520" s="108"/>
    </row>
    <row r="521" spans="1:8">
      <c r="A521" s="271" t="s">
        <v>1252</v>
      </c>
      <c r="B521" s="271" t="s">
        <v>1253</v>
      </c>
      <c r="C521" s="271" t="s">
        <v>872</v>
      </c>
      <c r="D521" s="271" t="s">
        <v>157</v>
      </c>
      <c r="E521" s="271" t="s">
        <v>100</v>
      </c>
      <c r="F521" s="106">
        <v>0</v>
      </c>
      <c r="G521" s="109"/>
      <c r="H521" s="108"/>
    </row>
    <row r="522" spans="1:8">
      <c r="A522" s="271" t="s">
        <v>1254</v>
      </c>
      <c r="B522" s="271" t="s">
        <v>155</v>
      </c>
      <c r="C522" s="271" t="s">
        <v>872</v>
      </c>
      <c r="D522" s="271" t="s">
        <v>157</v>
      </c>
      <c r="E522" s="271" t="s">
        <v>100</v>
      </c>
      <c r="F522" s="106">
        <v>0</v>
      </c>
      <c r="G522" s="109"/>
      <c r="H522" s="108"/>
    </row>
    <row r="523" spans="1:8">
      <c r="A523" s="271" t="s">
        <v>1255</v>
      </c>
      <c r="B523" s="271" t="s">
        <v>1256</v>
      </c>
      <c r="C523" s="271" t="s">
        <v>872</v>
      </c>
      <c r="D523" s="271" t="s">
        <v>157</v>
      </c>
      <c r="E523" s="271" t="s">
        <v>100</v>
      </c>
      <c r="F523" s="106">
        <v>0</v>
      </c>
      <c r="G523" s="109"/>
      <c r="H523" s="108"/>
    </row>
    <row r="524" spans="1:8">
      <c r="A524" s="271" t="s">
        <v>1257</v>
      </c>
      <c r="B524" s="271" t="s">
        <v>1258</v>
      </c>
      <c r="C524" s="271" t="s">
        <v>156</v>
      </c>
      <c r="D524" s="271" t="s">
        <v>162</v>
      </c>
      <c r="E524" s="271" t="s">
        <v>100</v>
      </c>
      <c r="F524" s="106">
        <v>0</v>
      </c>
      <c r="G524" s="109"/>
      <c r="H524" s="108">
        <f t="shared" si="8"/>
        <v>0</v>
      </c>
    </row>
    <row r="525" spans="1:8">
      <c r="A525" s="271" t="s">
        <v>1259</v>
      </c>
      <c r="B525" s="271" t="s">
        <v>1260</v>
      </c>
      <c r="C525" s="271" t="s">
        <v>156</v>
      </c>
      <c r="D525" s="271" t="s">
        <v>162</v>
      </c>
      <c r="E525" s="271" t="s">
        <v>100</v>
      </c>
      <c r="F525" s="106">
        <v>0</v>
      </c>
      <c r="G525" s="109"/>
      <c r="H525" s="108">
        <f t="shared" si="8"/>
        <v>0</v>
      </c>
    </row>
    <row r="526" spans="1:8">
      <c r="A526" s="271" t="s">
        <v>1261</v>
      </c>
      <c r="B526" s="271" t="s">
        <v>1262</v>
      </c>
      <c r="C526" s="271" t="s">
        <v>156</v>
      </c>
      <c r="D526" s="271" t="s">
        <v>162</v>
      </c>
      <c r="E526" s="271" t="s">
        <v>100</v>
      </c>
      <c r="F526" s="106">
        <v>0</v>
      </c>
      <c r="G526" s="109"/>
      <c r="H526" s="108">
        <f t="shared" si="8"/>
        <v>0</v>
      </c>
    </row>
    <row r="527" spans="1:8">
      <c r="A527" s="271" t="s">
        <v>1263</v>
      </c>
      <c r="B527" s="271" t="s">
        <v>1264</v>
      </c>
      <c r="C527" s="271" t="s">
        <v>156</v>
      </c>
      <c r="D527" s="271" t="s">
        <v>162</v>
      </c>
      <c r="E527" s="271" t="s">
        <v>100</v>
      </c>
      <c r="F527" s="106">
        <v>0</v>
      </c>
      <c r="G527" s="109"/>
      <c r="H527" s="108">
        <f t="shared" si="8"/>
        <v>0</v>
      </c>
    </row>
    <row r="528" spans="1:8">
      <c r="A528" s="271" t="s">
        <v>1265</v>
      </c>
      <c r="B528" s="271" t="s">
        <v>1266</v>
      </c>
      <c r="C528" s="271" t="s">
        <v>156</v>
      </c>
      <c r="D528" s="271" t="s">
        <v>162</v>
      </c>
      <c r="E528" s="271" t="s">
        <v>100</v>
      </c>
      <c r="F528" s="106">
        <v>0</v>
      </c>
      <c r="G528" s="109"/>
      <c r="H528" s="108">
        <f t="shared" si="8"/>
        <v>0</v>
      </c>
    </row>
    <row r="529" spans="1:8">
      <c r="A529" s="271" t="s">
        <v>1267</v>
      </c>
      <c r="B529" s="271" t="s">
        <v>1268</v>
      </c>
      <c r="C529" s="271" t="s">
        <v>156</v>
      </c>
      <c r="D529" s="271" t="s">
        <v>162</v>
      </c>
      <c r="E529" s="271" t="s">
        <v>100</v>
      </c>
      <c r="F529" s="106">
        <v>0</v>
      </c>
      <c r="G529" s="109"/>
      <c r="H529" s="108">
        <f t="shared" si="8"/>
        <v>0</v>
      </c>
    </row>
    <row r="530" spans="1:8">
      <c r="A530" s="271" t="s">
        <v>1269</v>
      </c>
      <c r="B530" s="271" t="s">
        <v>1270</v>
      </c>
      <c r="C530" s="271" t="s">
        <v>872</v>
      </c>
      <c r="D530" s="271" t="s">
        <v>169</v>
      </c>
      <c r="E530" s="271" t="s">
        <v>1271</v>
      </c>
      <c r="F530" s="106">
        <v>0</v>
      </c>
      <c r="G530" s="109"/>
      <c r="H530" s="108"/>
    </row>
    <row r="531" spans="1:8">
      <c r="A531" s="271" t="s">
        <v>1272</v>
      </c>
      <c r="B531" s="271" t="s">
        <v>189</v>
      </c>
      <c r="C531" s="271" t="s">
        <v>872</v>
      </c>
      <c r="D531" s="271" t="s">
        <v>157</v>
      </c>
      <c r="E531" s="271" t="s">
        <v>100</v>
      </c>
      <c r="F531" s="106">
        <v>0</v>
      </c>
      <c r="G531" s="109"/>
      <c r="H531" s="108"/>
    </row>
    <row r="532" spans="1:8">
      <c r="A532" s="271" t="s">
        <v>1273</v>
      </c>
      <c r="B532" s="271" t="s">
        <v>1110</v>
      </c>
      <c r="C532" s="271" t="s">
        <v>156</v>
      </c>
      <c r="D532" s="271" t="s">
        <v>162</v>
      </c>
      <c r="E532" s="271" t="s">
        <v>100</v>
      </c>
      <c r="F532" s="106">
        <v>0</v>
      </c>
      <c r="G532" s="109"/>
      <c r="H532" s="108">
        <f t="shared" si="8"/>
        <v>0</v>
      </c>
    </row>
    <row r="533" spans="1:8">
      <c r="A533" s="271" t="s">
        <v>1274</v>
      </c>
      <c r="B533" s="271" t="s">
        <v>1275</v>
      </c>
      <c r="C533" s="271" t="s">
        <v>156</v>
      </c>
      <c r="D533" s="271" t="s">
        <v>162</v>
      </c>
      <c r="E533" s="271" t="s">
        <v>100</v>
      </c>
      <c r="F533" s="106">
        <v>0</v>
      </c>
      <c r="G533" s="109"/>
      <c r="H533" s="108">
        <f t="shared" si="8"/>
        <v>0</v>
      </c>
    </row>
    <row r="534" spans="1:8">
      <c r="A534" s="271" t="s">
        <v>1276</v>
      </c>
      <c r="B534" s="271" t="s">
        <v>1277</v>
      </c>
      <c r="C534" s="271" t="s">
        <v>156</v>
      </c>
      <c r="D534" s="271" t="s">
        <v>162</v>
      </c>
      <c r="E534" s="271" t="s">
        <v>100</v>
      </c>
      <c r="F534" s="106">
        <v>0</v>
      </c>
      <c r="G534" s="109"/>
      <c r="H534" s="108">
        <f t="shared" si="8"/>
        <v>0</v>
      </c>
    </row>
    <row r="535" spans="1:8">
      <c r="A535" s="271" t="s">
        <v>1278</v>
      </c>
      <c r="B535" s="271" t="s">
        <v>1279</v>
      </c>
      <c r="C535" s="271" t="s">
        <v>156</v>
      </c>
      <c r="D535" s="271" t="s">
        <v>162</v>
      </c>
      <c r="E535" s="271" t="s">
        <v>100</v>
      </c>
      <c r="F535" s="106">
        <v>0</v>
      </c>
      <c r="G535" s="109"/>
      <c r="H535" s="108">
        <f t="shared" si="8"/>
        <v>0</v>
      </c>
    </row>
    <row r="536" spans="1:8">
      <c r="A536" s="271" t="s">
        <v>1280</v>
      </c>
      <c r="B536" s="271" t="s">
        <v>1281</v>
      </c>
      <c r="C536" s="271" t="s">
        <v>156</v>
      </c>
      <c r="D536" s="271" t="s">
        <v>162</v>
      </c>
      <c r="E536" s="271" t="s">
        <v>100</v>
      </c>
      <c r="F536" s="106">
        <v>0</v>
      </c>
      <c r="G536" s="109"/>
      <c r="H536" s="108">
        <f t="shared" si="8"/>
        <v>0</v>
      </c>
    </row>
    <row r="537" spans="1:8">
      <c r="A537" s="271" t="s">
        <v>1282</v>
      </c>
      <c r="B537" s="271" t="s">
        <v>251</v>
      </c>
      <c r="C537" s="271" t="s">
        <v>872</v>
      </c>
      <c r="D537" s="271" t="s">
        <v>169</v>
      </c>
      <c r="E537" s="271" t="s">
        <v>1283</v>
      </c>
      <c r="F537" s="106">
        <v>0</v>
      </c>
      <c r="G537" s="109"/>
      <c r="H537" s="108">
        <f t="shared" ref="H537:H598" si="9">SUM(F537:G537)</f>
        <v>0</v>
      </c>
    </row>
    <row r="538" spans="1:8">
      <c r="A538" s="271" t="s">
        <v>1284</v>
      </c>
      <c r="B538" s="271" t="s">
        <v>278</v>
      </c>
      <c r="C538" s="271" t="s">
        <v>872</v>
      </c>
      <c r="D538" s="271" t="s">
        <v>169</v>
      </c>
      <c r="E538" s="271" t="s">
        <v>1285</v>
      </c>
      <c r="F538" s="106">
        <v>0</v>
      </c>
      <c r="G538" s="109"/>
      <c r="H538" s="108">
        <f t="shared" si="9"/>
        <v>0</v>
      </c>
    </row>
    <row r="539" spans="1:8">
      <c r="A539" s="271" t="s">
        <v>1286</v>
      </c>
      <c r="B539" s="271" t="s">
        <v>281</v>
      </c>
      <c r="C539" s="271" t="s">
        <v>872</v>
      </c>
      <c r="D539" s="271" t="s">
        <v>157</v>
      </c>
      <c r="E539" s="271" t="s">
        <v>100</v>
      </c>
      <c r="F539" s="106">
        <v>0</v>
      </c>
      <c r="G539" s="109"/>
      <c r="H539" s="108">
        <f t="shared" si="9"/>
        <v>0</v>
      </c>
    </row>
    <row r="540" spans="1:8">
      <c r="A540" s="271" t="s">
        <v>1287</v>
      </c>
      <c r="B540" s="271" t="s">
        <v>1288</v>
      </c>
      <c r="C540" s="271" t="s">
        <v>872</v>
      </c>
      <c r="D540" s="271" t="s">
        <v>157</v>
      </c>
      <c r="E540" s="271" t="s">
        <v>100</v>
      </c>
      <c r="F540" s="106">
        <v>0</v>
      </c>
      <c r="G540" s="109"/>
      <c r="H540" s="108">
        <f t="shared" si="9"/>
        <v>0</v>
      </c>
    </row>
    <row r="541" spans="1:8">
      <c r="A541" s="271" t="s">
        <v>1289</v>
      </c>
      <c r="B541" s="271" t="s">
        <v>47</v>
      </c>
      <c r="C541" s="271" t="s">
        <v>156</v>
      </c>
      <c r="D541" s="271" t="s">
        <v>162</v>
      </c>
      <c r="E541" s="271" t="s">
        <v>100</v>
      </c>
      <c r="F541" s="106">
        <v>0</v>
      </c>
      <c r="G541" s="109"/>
      <c r="H541" s="108">
        <f t="shared" si="9"/>
        <v>0</v>
      </c>
    </row>
    <row r="542" spans="1:8">
      <c r="A542" s="271" t="s">
        <v>1290</v>
      </c>
      <c r="B542" s="271" t="s">
        <v>1291</v>
      </c>
      <c r="C542" s="271" t="s">
        <v>156</v>
      </c>
      <c r="D542" s="271" t="s">
        <v>162</v>
      </c>
      <c r="E542" s="271" t="s">
        <v>100</v>
      </c>
      <c r="F542" s="106">
        <v>0</v>
      </c>
      <c r="G542" s="109"/>
      <c r="H542" s="108">
        <f t="shared" si="9"/>
        <v>0</v>
      </c>
    </row>
    <row r="543" spans="1:8">
      <c r="A543" s="271" t="s">
        <v>1292</v>
      </c>
      <c r="B543" s="271" t="s">
        <v>1293</v>
      </c>
      <c r="C543" s="271" t="s">
        <v>156</v>
      </c>
      <c r="D543" s="271" t="s">
        <v>162</v>
      </c>
      <c r="E543" s="271" t="s">
        <v>100</v>
      </c>
      <c r="F543" s="106">
        <v>0</v>
      </c>
      <c r="G543" s="109"/>
      <c r="H543" s="108">
        <f t="shared" si="9"/>
        <v>0</v>
      </c>
    </row>
    <row r="544" spans="1:8">
      <c r="A544" s="271" t="s">
        <v>1294</v>
      </c>
      <c r="B544" s="271" t="s">
        <v>1295</v>
      </c>
      <c r="C544" s="271" t="s">
        <v>156</v>
      </c>
      <c r="D544" s="271" t="s">
        <v>162</v>
      </c>
      <c r="E544" s="271" t="s">
        <v>100</v>
      </c>
      <c r="F544" s="106">
        <v>0</v>
      </c>
      <c r="G544" s="109"/>
      <c r="H544" s="108">
        <f t="shared" si="9"/>
        <v>0</v>
      </c>
    </row>
    <row r="545" spans="1:8">
      <c r="A545" s="271" t="s">
        <v>1296</v>
      </c>
      <c r="B545" s="271" t="s">
        <v>1297</v>
      </c>
      <c r="C545" s="271" t="s">
        <v>156</v>
      </c>
      <c r="D545" s="271" t="s">
        <v>162</v>
      </c>
      <c r="E545" s="271" t="s">
        <v>100</v>
      </c>
      <c r="F545" s="106">
        <v>0</v>
      </c>
      <c r="G545" s="109"/>
      <c r="H545" s="108">
        <f t="shared" si="9"/>
        <v>0</v>
      </c>
    </row>
    <row r="546" spans="1:8">
      <c r="A546" s="271" t="s">
        <v>1298</v>
      </c>
      <c r="B546" s="271" t="s">
        <v>1299</v>
      </c>
      <c r="C546" s="271" t="s">
        <v>156</v>
      </c>
      <c r="D546" s="271" t="s">
        <v>162</v>
      </c>
      <c r="E546" s="271" t="s">
        <v>100</v>
      </c>
      <c r="F546" s="106">
        <v>0</v>
      </c>
      <c r="G546" s="109"/>
      <c r="H546" s="108">
        <f t="shared" si="9"/>
        <v>0</v>
      </c>
    </row>
    <row r="547" spans="1:8">
      <c r="A547" s="271" t="s">
        <v>1300</v>
      </c>
      <c r="B547" s="271" t="s">
        <v>1301</v>
      </c>
      <c r="C547" s="271" t="s">
        <v>156</v>
      </c>
      <c r="D547" s="271" t="s">
        <v>162</v>
      </c>
      <c r="E547" s="271" t="s">
        <v>100</v>
      </c>
      <c r="F547" s="106">
        <v>0</v>
      </c>
      <c r="G547" s="109"/>
      <c r="H547" s="108">
        <f t="shared" si="9"/>
        <v>0</v>
      </c>
    </row>
    <row r="548" spans="1:8">
      <c r="A548" s="271" t="s">
        <v>1302</v>
      </c>
      <c r="B548" s="271" t="s">
        <v>1303</v>
      </c>
      <c r="C548" s="271" t="s">
        <v>156</v>
      </c>
      <c r="D548" s="271" t="s">
        <v>162</v>
      </c>
      <c r="E548" s="271" t="s">
        <v>100</v>
      </c>
      <c r="F548" s="106">
        <v>0</v>
      </c>
      <c r="G548" s="109"/>
      <c r="H548" s="108">
        <f t="shared" si="9"/>
        <v>0</v>
      </c>
    </row>
    <row r="549" spans="1:8">
      <c r="A549" s="271" t="s">
        <v>1304</v>
      </c>
      <c r="B549" s="271" t="s">
        <v>664</v>
      </c>
      <c r="C549" s="271" t="s">
        <v>156</v>
      </c>
      <c r="D549" s="271" t="s">
        <v>162</v>
      </c>
      <c r="E549" s="271" t="s">
        <v>100</v>
      </c>
      <c r="F549" s="106">
        <v>0</v>
      </c>
      <c r="G549" s="109"/>
      <c r="H549" s="108">
        <f t="shared" si="9"/>
        <v>0</v>
      </c>
    </row>
    <row r="550" spans="1:8">
      <c r="A550" s="271" t="s">
        <v>1305</v>
      </c>
      <c r="B550" s="271" t="s">
        <v>1306</v>
      </c>
      <c r="C550" s="271" t="s">
        <v>156</v>
      </c>
      <c r="D550" s="271" t="s">
        <v>162</v>
      </c>
      <c r="E550" s="271" t="s">
        <v>100</v>
      </c>
      <c r="F550" s="106">
        <v>0</v>
      </c>
      <c r="G550" s="109"/>
      <c r="H550" s="108">
        <f t="shared" si="9"/>
        <v>0</v>
      </c>
    </row>
    <row r="551" spans="1:8">
      <c r="A551" s="271" t="s">
        <v>1307</v>
      </c>
      <c r="B551" s="271" t="s">
        <v>1308</v>
      </c>
      <c r="C551" s="271" t="s">
        <v>156</v>
      </c>
      <c r="D551" s="271" t="s">
        <v>162</v>
      </c>
      <c r="E551" s="271" t="s">
        <v>100</v>
      </c>
      <c r="F551" s="106">
        <v>0</v>
      </c>
      <c r="G551" s="109"/>
      <c r="H551" s="108">
        <f t="shared" si="9"/>
        <v>0</v>
      </c>
    </row>
    <row r="552" spans="1:8">
      <c r="A552" s="271" t="s">
        <v>1309</v>
      </c>
      <c r="B552" s="271" t="s">
        <v>1310</v>
      </c>
      <c r="C552" s="271" t="s">
        <v>156</v>
      </c>
      <c r="D552" s="271" t="s">
        <v>162</v>
      </c>
      <c r="E552" s="271" t="s">
        <v>100</v>
      </c>
      <c r="F552" s="106">
        <v>0</v>
      </c>
      <c r="G552" s="109"/>
      <c r="H552" s="108">
        <f t="shared" si="9"/>
        <v>0</v>
      </c>
    </row>
    <row r="553" spans="1:8">
      <c r="A553" s="271" t="s">
        <v>1311</v>
      </c>
      <c r="B553" s="271" t="s">
        <v>1312</v>
      </c>
      <c r="C553" s="271" t="s">
        <v>156</v>
      </c>
      <c r="D553" s="271" t="s">
        <v>162</v>
      </c>
      <c r="E553" s="271" t="s">
        <v>100</v>
      </c>
      <c r="F553" s="106">
        <v>0</v>
      </c>
      <c r="G553" s="109"/>
      <c r="H553" s="108">
        <f t="shared" si="9"/>
        <v>0</v>
      </c>
    </row>
    <row r="554" spans="1:8">
      <c r="A554" s="271" t="s">
        <v>1313</v>
      </c>
      <c r="B554" s="271" t="s">
        <v>1314</v>
      </c>
      <c r="C554" s="271" t="s">
        <v>156</v>
      </c>
      <c r="D554" s="271" t="s">
        <v>162</v>
      </c>
      <c r="E554" s="271" t="s">
        <v>100</v>
      </c>
      <c r="F554" s="106">
        <v>0</v>
      </c>
      <c r="G554" s="109"/>
      <c r="H554" s="108">
        <f t="shared" si="9"/>
        <v>0</v>
      </c>
    </row>
    <row r="555" spans="1:8">
      <c r="A555" s="271" t="s">
        <v>1315</v>
      </c>
      <c r="B555" s="271" t="s">
        <v>1316</v>
      </c>
      <c r="C555" s="271" t="s">
        <v>156</v>
      </c>
      <c r="D555" s="271" t="s">
        <v>162</v>
      </c>
      <c r="E555" s="271" t="s">
        <v>100</v>
      </c>
      <c r="F555" s="106">
        <v>0</v>
      </c>
      <c r="G555" s="109"/>
      <c r="H555" s="108">
        <f t="shared" si="9"/>
        <v>0</v>
      </c>
    </row>
    <row r="556" spans="1:8">
      <c r="A556" s="271" t="s">
        <v>1317</v>
      </c>
      <c r="B556" s="271" t="s">
        <v>1318</v>
      </c>
      <c r="C556" s="271" t="s">
        <v>156</v>
      </c>
      <c r="D556" s="271" t="s">
        <v>162</v>
      </c>
      <c r="E556" s="271" t="s">
        <v>100</v>
      </c>
      <c r="F556" s="106">
        <v>0</v>
      </c>
      <c r="G556" s="109"/>
      <c r="H556" s="108">
        <f t="shared" si="9"/>
        <v>0</v>
      </c>
    </row>
    <row r="557" spans="1:8">
      <c r="A557" s="271" t="s">
        <v>1319</v>
      </c>
      <c r="B557" s="271" t="s">
        <v>1320</v>
      </c>
      <c r="C557" s="271" t="s">
        <v>872</v>
      </c>
      <c r="D557" s="271" t="s">
        <v>169</v>
      </c>
      <c r="E557" s="271" t="s">
        <v>1321</v>
      </c>
      <c r="F557" s="106">
        <v>0</v>
      </c>
      <c r="G557" s="109"/>
      <c r="H557" s="108">
        <f t="shared" si="9"/>
        <v>0</v>
      </c>
    </row>
    <row r="558" spans="1:8">
      <c r="A558" s="271" t="s">
        <v>1322</v>
      </c>
      <c r="B558" s="271" t="s">
        <v>1323</v>
      </c>
      <c r="C558" s="271" t="s">
        <v>872</v>
      </c>
      <c r="D558" s="271" t="s">
        <v>157</v>
      </c>
      <c r="E558" s="271" t="s">
        <v>100</v>
      </c>
      <c r="F558" s="106">
        <v>0</v>
      </c>
      <c r="G558" s="109"/>
      <c r="H558" s="108">
        <f t="shared" si="9"/>
        <v>0</v>
      </c>
    </row>
    <row r="559" spans="1:8">
      <c r="A559" s="271" t="s">
        <v>1324</v>
      </c>
      <c r="B559" s="271" t="s">
        <v>1325</v>
      </c>
      <c r="C559" s="271" t="s">
        <v>156</v>
      </c>
      <c r="D559" s="271" t="s">
        <v>162</v>
      </c>
      <c r="E559" s="271" t="s">
        <v>100</v>
      </c>
      <c r="F559" s="106">
        <v>0</v>
      </c>
      <c r="G559" s="109"/>
      <c r="H559" s="108">
        <f t="shared" si="9"/>
        <v>0</v>
      </c>
    </row>
    <row r="560" spans="1:8">
      <c r="A560" s="271" t="s">
        <v>1326</v>
      </c>
      <c r="B560" s="271" t="s">
        <v>1327</v>
      </c>
      <c r="C560" s="271" t="s">
        <v>156</v>
      </c>
      <c r="D560" s="271" t="s">
        <v>162</v>
      </c>
      <c r="E560" s="271" t="s">
        <v>100</v>
      </c>
      <c r="F560" s="106">
        <v>0</v>
      </c>
      <c r="G560" s="109"/>
      <c r="H560" s="108">
        <f t="shared" si="9"/>
        <v>0</v>
      </c>
    </row>
    <row r="561" spans="1:8">
      <c r="A561" s="271" t="s">
        <v>1328</v>
      </c>
      <c r="B561" s="271" t="s">
        <v>1329</v>
      </c>
      <c r="C561" s="271" t="s">
        <v>872</v>
      </c>
      <c r="D561" s="271" t="s">
        <v>162</v>
      </c>
      <c r="E561" s="271" t="s">
        <v>100</v>
      </c>
      <c r="F561" s="106">
        <v>0</v>
      </c>
      <c r="G561" s="109"/>
      <c r="H561" s="108">
        <f t="shared" si="9"/>
        <v>0</v>
      </c>
    </row>
    <row r="562" spans="1:8">
      <c r="A562" s="271" t="s">
        <v>1330</v>
      </c>
      <c r="B562" s="271" t="s">
        <v>1331</v>
      </c>
      <c r="C562" s="271" t="s">
        <v>156</v>
      </c>
      <c r="D562" s="271" t="s">
        <v>162</v>
      </c>
      <c r="E562" s="271" t="s">
        <v>100</v>
      </c>
      <c r="F562" s="106">
        <v>0</v>
      </c>
      <c r="G562" s="109"/>
      <c r="H562" s="108">
        <f t="shared" si="9"/>
        <v>0</v>
      </c>
    </row>
    <row r="563" spans="1:8">
      <c r="A563" s="271" t="s">
        <v>1332</v>
      </c>
      <c r="B563" s="271" t="s">
        <v>1333</v>
      </c>
      <c r="C563" s="271" t="s">
        <v>872</v>
      </c>
      <c r="D563" s="271" t="s">
        <v>169</v>
      </c>
      <c r="E563" s="271" t="s">
        <v>1334</v>
      </c>
      <c r="F563" s="106">
        <v>0</v>
      </c>
      <c r="G563" s="109"/>
      <c r="H563" s="108">
        <f t="shared" si="9"/>
        <v>0</v>
      </c>
    </row>
    <row r="564" spans="1:8">
      <c r="A564" s="271" t="s">
        <v>1335</v>
      </c>
      <c r="B564" s="271" t="s">
        <v>1336</v>
      </c>
      <c r="C564" s="271" t="s">
        <v>872</v>
      </c>
      <c r="D564" s="271" t="s">
        <v>157</v>
      </c>
      <c r="E564" s="271" t="s">
        <v>100</v>
      </c>
      <c r="F564" s="106">
        <v>0</v>
      </c>
      <c r="G564" s="109"/>
      <c r="H564" s="108">
        <f t="shared" si="9"/>
        <v>0</v>
      </c>
    </row>
    <row r="565" spans="1:8">
      <c r="A565" s="271" t="s">
        <v>1337</v>
      </c>
      <c r="B565" s="271" t="s">
        <v>1338</v>
      </c>
      <c r="C565" s="271" t="s">
        <v>156</v>
      </c>
      <c r="D565" s="271" t="s">
        <v>162</v>
      </c>
      <c r="E565" s="271" t="s">
        <v>100</v>
      </c>
      <c r="F565" s="106">
        <v>0</v>
      </c>
      <c r="G565" s="109"/>
      <c r="H565" s="108">
        <f t="shared" si="9"/>
        <v>0</v>
      </c>
    </row>
    <row r="566" spans="1:8">
      <c r="A566" s="271" t="s">
        <v>1339</v>
      </c>
      <c r="B566" s="271" t="s">
        <v>1340</v>
      </c>
      <c r="C566" s="271" t="s">
        <v>156</v>
      </c>
      <c r="D566" s="271" t="s">
        <v>162</v>
      </c>
      <c r="E566" s="271" t="s">
        <v>100</v>
      </c>
      <c r="F566" s="106">
        <v>0</v>
      </c>
      <c r="G566" s="109"/>
      <c r="H566" s="108">
        <f t="shared" si="9"/>
        <v>0</v>
      </c>
    </row>
    <row r="567" spans="1:8">
      <c r="A567" s="271" t="s">
        <v>1341</v>
      </c>
      <c r="B567" s="271" t="s">
        <v>1342</v>
      </c>
      <c r="C567" s="271" t="s">
        <v>156</v>
      </c>
      <c r="D567" s="271" t="s">
        <v>162</v>
      </c>
      <c r="E567" s="271" t="s">
        <v>100</v>
      </c>
      <c r="F567" s="106">
        <v>0</v>
      </c>
      <c r="G567" s="109"/>
      <c r="H567" s="108">
        <f t="shared" si="9"/>
        <v>0</v>
      </c>
    </row>
    <row r="568" spans="1:8">
      <c r="A568" s="271" t="s">
        <v>1343</v>
      </c>
      <c r="B568" s="271" t="s">
        <v>1344</v>
      </c>
      <c r="C568" s="271" t="s">
        <v>156</v>
      </c>
      <c r="D568" s="271" t="s">
        <v>162</v>
      </c>
      <c r="E568" s="271" t="s">
        <v>100</v>
      </c>
      <c r="F568" s="106">
        <v>0</v>
      </c>
      <c r="G568" s="109"/>
      <c r="H568" s="108">
        <f t="shared" si="9"/>
        <v>0</v>
      </c>
    </row>
    <row r="569" spans="1:8">
      <c r="A569" s="271" t="s">
        <v>1345</v>
      </c>
      <c r="B569" s="271" t="s">
        <v>1346</v>
      </c>
      <c r="C569" s="271" t="s">
        <v>156</v>
      </c>
      <c r="D569" s="271" t="s">
        <v>162</v>
      </c>
      <c r="E569" s="271" t="s">
        <v>100</v>
      </c>
      <c r="F569" s="106">
        <v>0</v>
      </c>
      <c r="G569" s="109"/>
      <c r="H569" s="108">
        <f t="shared" si="9"/>
        <v>0</v>
      </c>
    </row>
    <row r="570" spans="1:8">
      <c r="A570" s="271" t="s">
        <v>1347</v>
      </c>
      <c r="B570" s="271" t="s">
        <v>1348</v>
      </c>
      <c r="C570" s="271" t="s">
        <v>872</v>
      </c>
      <c r="D570" s="271" t="s">
        <v>162</v>
      </c>
      <c r="E570" s="271" t="s">
        <v>100</v>
      </c>
      <c r="F570" s="106">
        <v>0</v>
      </c>
      <c r="G570" s="109"/>
      <c r="H570" s="108">
        <f t="shared" si="9"/>
        <v>0</v>
      </c>
    </row>
    <row r="571" spans="1:8">
      <c r="A571" s="271" t="s">
        <v>1349</v>
      </c>
      <c r="B571" s="271" t="s">
        <v>1350</v>
      </c>
      <c r="C571" s="271" t="s">
        <v>156</v>
      </c>
      <c r="D571" s="271" t="s">
        <v>162</v>
      </c>
      <c r="E571" s="271" t="s">
        <v>100</v>
      </c>
      <c r="F571" s="106">
        <v>0</v>
      </c>
      <c r="G571" s="109"/>
      <c r="H571" s="108">
        <f t="shared" si="9"/>
        <v>0</v>
      </c>
    </row>
    <row r="572" spans="1:8">
      <c r="A572" s="271" t="s">
        <v>1351</v>
      </c>
      <c r="B572" s="271" t="s">
        <v>1352</v>
      </c>
      <c r="C572" s="271" t="s">
        <v>872</v>
      </c>
      <c r="D572" s="271" t="s">
        <v>162</v>
      </c>
      <c r="E572" s="271" t="s">
        <v>100</v>
      </c>
      <c r="F572" s="106">
        <v>0</v>
      </c>
      <c r="G572" s="109"/>
      <c r="H572" s="108">
        <f t="shared" si="9"/>
        <v>0</v>
      </c>
    </row>
    <row r="573" spans="1:8">
      <c r="A573" s="271" t="s">
        <v>1353</v>
      </c>
      <c r="B573" s="271" t="s">
        <v>1354</v>
      </c>
      <c r="C573" s="271" t="s">
        <v>156</v>
      </c>
      <c r="D573" s="271" t="s">
        <v>162</v>
      </c>
      <c r="E573" s="271" t="s">
        <v>100</v>
      </c>
      <c r="F573" s="106">
        <v>0</v>
      </c>
      <c r="G573" s="109"/>
      <c r="H573" s="108">
        <f t="shared" si="9"/>
        <v>0</v>
      </c>
    </row>
    <row r="574" spans="1:8">
      <c r="A574" s="271" t="s">
        <v>1355</v>
      </c>
      <c r="B574" s="271" t="s">
        <v>1356</v>
      </c>
      <c r="C574" s="271" t="s">
        <v>872</v>
      </c>
      <c r="D574" s="271" t="s">
        <v>162</v>
      </c>
      <c r="E574" s="271" t="s">
        <v>100</v>
      </c>
      <c r="F574" s="106">
        <v>0</v>
      </c>
      <c r="G574" s="109"/>
      <c r="H574" s="108">
        <f t="shared" si="9"/>
        <v>0</v>
      </c>
    </row>
    <row r="575" spans="1:8">
      <c r="A575" s="271" t="s">
        <v>1357</v>
      </c>
      <c r="B575" s="271" t="s">
        <v>1358</v>
      </c>
      <c r="C575" s="271" t="s">
        <v>156</v>
      </c>
      <c r="D575" s="271" t="s">
        <v>162</v>
      </c>
      <c r="E575" s="271" t="s">
        <v>100</v>
      </c>
      <c r="F575" s="106">
        <v>0</v>
      </c>
      <c r="G575" s="109"/>
      <c r="H575" s="108">
        <f t="shared" si="9"/>
        <v>0</v>
      </c>
    </row>
    <row r="576" spans="1:8">
      <c r="A576" s="271" t="s">
        <v>1359</v>
      </c>
      <c r="B576" s="271" t="s">
        <v>1360</v>
      </c>
      <c r="C576" s="271" t="s">
        <v>156</v>
      </c>
      <c r="D576" s="271" t="s">
        <v>162</v>
      </c>
      <c r="E576" s="271" t="s">
        <v>100</v>
      </c>
      <c r="F576" s="106">
        <v>0</v>
      </c>
      <c r="G576" s="109"/>
      <c r="H576" s="108">
        <f t="shared" si="9"/>
        <v>0</v>
      </c>
    </row>
    <row r="577" spans="1:8">
      <c r="A577" s="271" t="s">
        <v>1361</v>
      </c>
      <c r="B577" s="271" t="s">
        <v>1362</v>
      </c>
      <c r="C577" s="271" t="s">
        <v>156</v>
      </c>
      <c r="D577" s="271" t="s">
        <v>162</v>
      </c>
      <c r="E577" s="271" t="s">
        <v>100</v>
      </c>
      <c r="F577" s="106">
        <v>0</v>
      </c>
      <c r="G577" s="109"/>
      <c r="H577" s="108">
        <f t="shared" si="9"/>
        <v>0</v>
      </c>
    </row>
    <row r="578" spans="1:8">
      <c r="A578" s="271" t="s">
        <v>1363</v>
      </c>
      <c r="B578" s="271" t="s">
        <v>1364</v>
      </c>
      <c r="C578" s="271" t="s">
        <v>156</v>
      </c>
      <c r="D578" s="271" t="s">
        <v>162</v>
      </c>
      <c r="E578" s="271" t="s">
        <v>100</v>
      </c>
      <c r="F578" s="106">
        <v>0</v>
      </c>
      <c r="G578" s="109"/>
      <c r="H578" s="108">
        <f t="shared" si="9"/>
        <v>0</v>
      </c>
    </row>
    <row r="579" spans="1:8">
      <c r="A579" s="271" t="s">
        <v>1365</v>
      </c>
      <c r="B579" s="271" t="s">
        <v>1366</v>
      </c>
      <c r="C579" s="271" t="s">
        <v>156</v>
      </c>
      <c r="D579" s="271" t="s">
        <v>162</v>
      </c>
      <c r="E579" s="271" t="s">
        <v>100</v>
      </c>
      <c r="F579" s="106">
        <v>0</v>
      </c>
      <c r="G579" s="109"/>
      <c r="H579" s="108">
        <f t="shared" si="9"/>
        <v>0</v>
      </c>
    </row>
    <row r="580" spans="1:8">
      <c r="A580" s="271" t="s">
        <v>1367</v>
      </c>
      <c r="B580" s="271" t="s">
        <v>495</v>
      </c>
      <c r="C580" s="271" t="s">
        <v>156</v>
      </c>
      <c r="D580" s="271" t="s">
        <v>162</v>
      </c>
      <c r="E580" s="271" t="s">
        <v>100</v>
      </c>
      <c r="F580" s="106">
        <v>0</v>
      </c>
      <c r="G580" s="109"/>
      <c r="H580" s="108">
        <f t="shared" si="9"/>
        <v>0</v>
      </c>
    </row>
    <row r="581" spans="1:8">
      <c r="A581" s="271" t="s">
        <v>1368</v>
      </c>
      <c r="B581" s="271" t="s">
        <v>1369</v>
      </c>
      <c r="C581" s="271" t="s">
        <v>156</v>
      </c>
      <c r="D581" s="271" t="s">
        <v>162</v>
      </c>
      <c r="E581" s="271" t="s">
        <v>100</v>
      </c>
      <c r="F581" s="106">
        <v>0</v>
      </c>
      <c r="G581" s="109"/>
      <c r="H581" s="108">
        <f t="shared" si="9"/>
        <v>0</v>
      </c>
    </row>
    <row r="582" spans="1:8">
      <c r="A582" s="271" t="s">
        <v>1370</v>
      </c>
      <c r="B582" s="271" t="s">
        <v>1301</v>
      </c>
      <c r="C582" s="271" t="s">
        <v>156</v>
      </c>
      <c r="D582" s="271" t="s">
        <v>162</v>
      </c>
      <c r="E582" s="271" t="s">
        <v>100</v>
      </c>
      <c r="F582" s="106">
        <v>0</v>
      </c>
      <c r="G582" s="109"/>
      <c r="H582" s="108">
        <f t="shared" si="9"/>
        <v>0</v>
      </c>
    </row>
    <row r="583" spans="1:8">
      <c r="A583" s="271" t="s">
        <v>1371</v>
      </c>
      <c r="B583" s="271" t="s">
        <v>1372</v>
      </c>
      <c r="C583" s="271" t="s">
        <v>156</v>
      </c>
      <c r="D583" s="271" t="s">
        <v>162</v>
      </c>
      <c r="E583" s="271" t="s">
        <v>100</v>
      </c>
      <c r="F583" s="106">
        <v>0</v>
      </c>
      <c r="G583" s="109"/>
      <c r="H583" s="108">
        <f t="shared" si="9"/>
        <v>0</v>
      </c>
    </row>
    <row r="584" spans="1:8">
      <c r="A584" s="271" t="s">
        <v>1373</v>
      </c>
      <c r="B584" s="271" t="s">
        <v>1374</v>
      </c>
      <c r="C584" s="271" t="s">
        <v>872</v>
      </c>
      <c r="D584" s="271" t="s">
        <v>169</v>
      </c>
      <c r="E584" s="271" t="s">
        <v>1375</v>
      </c>
      <c r="F584" s="106">
        <v>0</v>
      </c>
      <c r="G584" s="109"/>
      <c r="H584" s="108">
        <f t="shared" si="9"/>
        <v>0</v>
      </c>
    </row>
    <row r="585" spans="1:8">
      <c r="A585" s="271" t="s">
        <v>1376</v>
      </c>
      <c r="B585" s="271" t="s">
        <v>1377</v>
      </c>
      <c r="C585" s="271" t="s">
        <v>872</v>
      </c>
      <c r="D585" s="271" t="s">
        <v>157</v>
      </c>
      <c r="E585" s="271" t="s">
        <v>100</v>
      </c>
      <c r="F585" s="106">
        <v>0</v>
      </c>
      <c r="G585" s="109"/>
      <c r="H585" s="108">
        <f t="shared" si="9"/>
        <v>0</v>
      </c>
    </row>
    <row r="586" spans="1:8">
      <c r="A586" s="271" t="s">
        <v>1378</v>
      </c>
      <c r="B586" s="271" t="s">
        <v>1379</v>
      </c>
      <c r="C586" s="271" t="s">
        <v>156</v>
      </c>
      <c r="D586" s="271" t="s">
        <v>162</v>
      </c>
      <c r="E586" s="271" t="s">
        <v>100</v>
      </c>
      <c r="F586" s="106">
        <v>0</v>
      </c>
      <c r="G586" s="109"/>
      <c r="H586" s="108">
        <f t="shared" si="9"/>
        <v>0</v>
      </c>
    </row>
    <row r="587" spans="1:8">
      <c r="A587" s="271" t="s">
        <v>1380</v>
      </c>
      <c r="B587" s="271" t="s">
        <v>1381</v>
      </c>
      <c r="C587" s="271" t="s">
        <v>872</v>
      </c>
      <c r="D587" s="271" t="s">
        <v>169</v>
      </c>
      <c r="E587" s="271" t="s">
        <v>1382</v>
      </c>
      <c r="F587" s="106">
        <v>0</v>
      </c>
      <c r="G587" s="109"/>
      <c r="H587" s="108">
        <f t="shared" si="9"/>
        <v>0</v>
      </c>
    </row>
    <row r="588" spans="1:8">
      <c r="A588" s="271" t="s">
        <v>1383</v>
      </c>
      <c r="B588" s="271" t="s">
        <v>1384</v>
      </c>
      <c r="C588" s="271" t="s">
        <v>872</v>
      </c>
      <c r="D588" s="271" t="s">
        <v>157</v>
      </c>
      <c r="E588" s="271" t="s">
        <v>100</v>
      </c>
      <c r="F588" s="106">
        <v>0</v>
      </c>
      <c r="G588" s="109"/>
      <c r="H588" s="108">
        <f t="shared" si="9"/>
        <v>0</v>
      </c>
    </row>
    <row r="589" spans="1:8">
      <c r="A589" s="271" t="s">
        <v>1385</v>
      </c>
      <c r="B589" s="271" t="s">
        <v>1386</v>
      </c>
      <c r="C589" s="271" t="s">
        <v>156</v>
      </c>
      <c r="D589" s="271" t="s">
        <v>162</v>
      </c>
      <c r="E589" s="271" t="s">
        <v>100</v>
      </c>
      <c r="F589" s="106">
        <v>0</v>
      </c>
      <c r="G589" s="109"/>
      <c r="H589" s="108">
        <f t="shared" si="9"/>
        <v>0</v>
      </c>
    </row>
    <row r="590" spans="1:8">
      <c r="A590" s="271" t="s">
        <v>1387</v>
      </c>
      <c r="B590" s="271" t="s">
        <v>1388</v>
      </c>
      <c r="C590" s="271" t="s">
        <v>872</v>
      </c>
      <c r="D590" s="271" t="s">
        <v>162</v>
      </c>
      <c r="E590" s="271" t="s">
        <v>100</v>
      </c>
      <c r="F590" s="106">
        <v>0</v>
      </c>
      <c r="G590" s="109"/>
      <c r="H590" s="108">
        <f t="shared" si="9"/>
        <v>0</v>
      </c>
    </row>
    <row r="591" spans="1:8">
      <c r="A591" s="271" t="s">
        <v>1389</v>
      </c>
      <c r="B591" s="271" t="s">
        <v>1390</v>
      </c>
      <c r="C591" s="271" t="s">
        <v>156</v>
      </c>
      <c r="D591" s="271" t="s">
        <v>162</v>
      </c>
      <c r="E591" s="271" t="s">
        <v>100</v>
      </c>
      <c r="F591" s="106">
        <v>0</v>
      </c>
      <c r="G591" s="109"/>
      <c r="H591" s="108">
        <f t="shared" si="9"/>
        <v>0</v>
      </c>
    </row>
    <row r="592" spans="1:8">
      <c r="A592" s="271" t="s">
        <v>1391</v>
      </c>
      <c r="B592" s="271" t="s">
        <v>1392</v>
      </c>
      <c r="C592" s="271" t="s">
        <v>872</v>
      </c>
      <c r="D592" s="271" t="s">
        <v>169</v>
      </c>
      <c r="E592" s="271" t="s">
        <v>1393</v>
      </c>
      <c r="F592" s="106">
        <v>0</v>
      </c>
      <c r="G592" s="109"/>
      <c r="H592" s="108">
        <f t="shared" si="9"/>
        <v>0</v>
      </c>
    </row>
    <row r="593" spans="1:8">
      <c r="A593" s="271" t="s">
        <v>1394</v>
      </c>
      <c r="B593" s="271" t="s">
        <v>1152</v>
      </c>
      <c r="C593" s="271" t="s">
        <v>872</v>
      </c>
      <c r="D593" s="271" t="s">
        <v>169</v>
      </c>
      <c r="E593" s="271" t="s">
        <v>1395</v>
      </c>
      <c r="F593" s="106">
        <v>0</v>
      </c>
      <c r="G593" s="109"/>
      <c r="H593" s="108">
        <f t="shared" si="9"/>
        <v>0</v>
      </c>
    </row>
    <row r="594" spans="1:8">
      <c r="A594" s="271" t="s">
        <v>1396</v>
      </c>
      <c r="B594" s="271" t="s">
        <v>1397</v>
      </c>
      <c r="C594" s="271" t="s">
        <v>872</v>
      </c>
      <c r="D594" s="271" t="s">
        <v>169</v>
      </c>
      <c r="E594" s="271" t="s">
        <v>1398</v>
      </c>
      <c r="F594" s="106">
        <v>0</v>
      </c>
      <c r="G594" s="109"/>
      <c r="H594" s="108">
        <f t="shared" si="9"/>
        <v>0</v>
      </c>
    </row>
    <row r="595" spans="1:8">
      <c r="A595" s="271" t="s">
        <v>1399</v>
      </c>
      <c r="B595" s="271" t="s">
        <v>1400</v>
      </c>
      <c r="C595" s="271" t="s">
        <v>872</v>
      </c>
      <c r="D595" s="271" t="s">
        <v>157</v>
      </c>
      <c r="E595" s="271" t="s">
        <v>100</v>
      </c>
      <c r="F595" s="106">
        <v>0</v>
      </c>
      <c r="G595" s="109"/>
      <c r="H595" s="108">
        <f t="shared" si="9"/>
        <v>0</v>
      </c>
    </row>
    <row r="596" spans="1:8">
      <c r="A596" s="271" t="s">
        <v>1401</v>
      </c>
      <c r="B596" s="271" t="s">
        <v>1402</v>
      </c>
      <c r="C596" s="271" t="s">
        <v>872</v>
      </c>
      <c r="D596" s="271" t="s">
        <v>162</v>
      </c>
      <c r="E596" s="271" t="s">
        <v>100</v>
      </c>
      <c r="F596" s="106">
        <v>0</v>
      </c>
      <c r="G596" s="109"/>
      <c r="H596" s="108">
        <f t="shared" si="9"/>
        <v>0</v>
      </c>
    </row>
    <row r="597" spans="1:8">
      <c r="A597" s="271" t="s">
        <v>1403</v>
      </c>
      <c r="B597" s="271" t="s">
        <v>1404</v>
      </c>
      <c r="C597" s="271" t="s">
        <v>872</v>
      </c>
      <c r="D597" s="271" t="s">
        <v>162</v>
      </c>
      <c r="E597" s="271" t="s">
        <v>100</v>
      </c>
      <c r="F597" s="106">
        <v>0</v>
      </c>
      <c r="G597" s="109"/>
      <c r="H597" s="108">
        <f t="shared" si="9"/>
        <v>0</v>
      </c>
    </row>
    <row r="598" spans="1:8">
      <c r="A598" s="271" t="s">
        <v>1405</v>
      </c>
      <c r="B598" s="271" t="s">
        <v>1406</v>
      </c>
      <c r="C598" s="271" t="s">
        <v>872</v>
      </c>
      <c r="D598" s="271" t="s">
        <v>162</v>
      </c>
      <c r="E598" s="271" t="s">
        <v>100</v>
      </c>
      <c r="F598" s="106">
        <v>-17200.759999999998</v>
      </c>
      <c r="G598" s="109"/>
      <c r="H598" s="108">
        <f t="shared" si="9"/>
        <v>-17200.759999999998</v>
      </c>
    </row>
    <row r="599" spans="1:8">
      <c r="A599" s="271" t="s">
        <v>1407</v>
      </c>
      <c r="B599" s="271" t="s">
        <v>1408</v>
      </c>
      <c r="C599" s="271" t="s">
        <v>872</v>
      </c>
      <c r="D599" s="271" t="s">
        <v>169</v>
      </c>
      <c r="E599" s="271" t="s">
        <v>1409</v>
      </c>
      <c r="F599" s="106">
        <v>-17200.759999999998</v>
      </c>
      <c r="G599" s="109"/>
      <c r="H599" s="108"/>
    </row>
    <row r="600" spans="1:8">
      <c r="A600" s="271" t="s">
        <v>1410</v>
      </c>
      <c r="B600" s="271" t="s">
        <v>1411</v>
      </c>
      <c r="C600" s="271" t="s">
        <v>872</v>
      </c>
      <c r="D600" s="271" t="s">
        <v>157</v>
      </c>
      <c r="E600" s="271" t="s">
        <v>100</v>
      </c>
      <c r="F600" s="106">
        <v>0</v>
      </c>
      <c r="G600" s="109"/>
      <c r="H600" s="108"/>
    </row>
    <row r="601" spans="1:8">
      <c r="A601" s="271" t="s">
        <v>1412</v>
      </c>
      <c r="B601" s="271" t="s">
        <v>1413</v>
      </c>
      <c r="C601" s="271" t="s">
        <v>872</v>
      </c>
      <c r="D601" s="271" t="s">
        <v>162</v>
      </c>
      <c r="E601" s="271" t="s">
        <v>100</v>
      </c>
      <c r="F601" s="106">
        <v>0</v>
      </c>
      <c r="G601" s="109"/>
      <c r="H601" s="108">
        <f t="shared" ref="H601:H613" si="10">SUM(F601:G601)</f>
        <v>0</v>
      </c>
    </row>
    <row r="602" spans="1:8">
      <c r="A602" s="271" t="s">
        <v>1414</v>
      </c>
      <c r="B602" s="271" t="s">
        <v>1415</v>
      </c>
      <c r="C602" s="271" t="s">
        <v>872</v>
      </c>
      <c r="D602" s="271" t="s">
        <v>162</v>
      </c>
      <c r="E602" s="271" t="s">
        <v>100</v>
      </c>
      <c r="F602" s="106">
        <v>0</v>
      </c>
      <c r="G602" s="109"/>
      <c r="H602" s="108">
        <f t="shared" si="10"/>
        <v>0</v>
      </c>
    </row>
    <row r="603" spans="1:8">
      <c r="A603" s="271" t="s">
        <v>1416</v>
      </c>
      <c r="B603" s="271" t="s">
        <v>1417</v>
      </c>
      <c r="C603" s="271" t="s">
        <v>872</v>
      </c>
      <c r="D603" s="271" t="s">
        <v>162</v>
      </c>
      <c r="E603" s="271" t="s">
        <v>100</v>
      </c>
      <c r="F603" s="106">
        <v>2628.71</v>
      </c>
      <c r="G603" s="109"/>
      <c r="H603" s="108">
        <f t="shared" si="10"/>
        <v>2628.71</v>
      </c>
    </row>
    <row r="604" spans="1:8">
      <c r="A604" s="271" t="s">
        <v>1418</v>
      </c>
      <c r="B604" s="271" t="s">
        <v>515</v>
      </c>
      <c r="C604" s="271" t="s">
        <v>872</v>
      </c>
      <c r="D604" s="271" t="s">
        <v>162</v>
      </c>
      <c r="E604" s="271" t="s">
        <v>100</v>
      </c>
      <c r="F604" s="106">
        <v>-1536001.87</v>
      </c>
      <c r="G604" s="109"/>
      <c r="H604" s="108">
        <f t="shared" si="10"/>
        <v>-1536001.87</v>
      </c>
    </row>
    <row r="605" spans="1:8">
      <c r="A605" s="271" t="s">
        <v>1419</v>
      </c>
      <c r="B605" s="271" t="s">
        <v>1420</v>
      </c>
      <c r="C605" s="271" t="s">
        <v>872</v>
      </c>
      <c r="D605" s="271" t="s">
        <v>169</v>
      </c>
      <c r="E605" s="271" t="s">
        <v>1421</v>
      </c>
      <c r="F605" s="106">
        <v>-1533373.16</v>
      </c>
      <c r="G605" s="109"/>
      <c r="H605" s="108"/>
    </row>
    <row r="606" spans="1:8">
      <c r="A606" s="271" t="s">
        <v>1422</v>
      </c>
      <c r="B606" s="271" t="s">
        <v>1423</v>
      </c>
      <c r="C606" s="271" t="s">
        <v>872</v>
      </c>
      <c r="D606" s="271" t="s">
        <v>157</v>
      </c>
      <c r="E606" s="271" t="s">
        <v>100</v>
      </c>
      <c r="F606" s="106">
        <v>0</v>
      </c>
      <c r="G606" s="109"/>
      <c r="H606" s="108"/>
    </row>
    <row r="607" spans="1:8">
      <c r="A607" s="271" t="s">
        <v>1424</v>
      </c>
      <c r="B607" s="271" t="s">
        <v>1425</v>
      </c>
      <c r="C607" s="271" t="s">
        <v>872</v>
      </c>
      <c r="D607" s="271" t="s">
        <v>162</v>
      </c>
      <c r="E607" s="271" t="s">
        <v>100</v>
      </c>
      <c r="F607" s="106">
        <v>0</v>
      </c>
      <c r="G607" s="109"/>
      <c r="H607" s="108">
        <f t="shared" si="10"/>
        <v>0</v>
      </c>
    </row>
    <row r="608" spans="1:8">
      <c r="A608" s="271" t="s">
        <v>1426</v>
      </c>
      <c r="B608" s="271" t="s">
        <v>1427</v>
      </c>
      <c r="C608" s="271" t="s">
        <v>872</v>
      </c>
      <c r="D608" s="271" t="s">
        <v>162</v>
      </c>
      <c r="E608" s="271" t="s">
        <v>100</v>
      </c>
      <c r="F608" s="106">
        <v>2800.5</v>
      </c>
      <c r="G608" s="109"/>
      <c r="H608" s="108">
        <f t="shared" si="10"/>
        <v>2800.5</v>
      </c>
    </row>
    <row r="609" spans="1:8">
      <c r="A609" s="271" t="s">
        <v>1428</v>
      </c>
      <c r="B609" s="271" t="s">
        <v>1429</v>
      </c>
      <c r="C609" s="271" t="s">
        <v>872</v>
      </c>
      <c r="D609" s="271" t="s">
        <v>162</v>
      </c>
      <c r="E609" s="271" t="s">
        <v>100</v>
      </c>
      <c r="F609" s="106">
        <v>-7013.35</v>
      </c>
      <c r="G609" s="109"/>
      <c r="H609" s="108">
        <f t="shared" si="10"/>
        <v>-7013.35</v>
      </c>
    </row>
    <row r="610" spans="1:8">
      <c r="A610" s="271" t="s">
        <v>1430</v>
      </c>
      <c r="B610" s="271" t="s">
        <v>1431</v>
      </c>
      <c r="C610" s="271" t="s">
        <v>872</v>
      </c>
      <c r="D610" s="271" t="s">
        <v>162</v>
      </c>
      <c r="E610" s="271" t="s">
        <v>100</v>
      </c>
      <c r="F610" s="106">
        <v>0</v>
      </c>
      <c r="G610" s="109"/>
      <c r="H610" s="108">
        <f t="shared" si="10"/>
        <v>0</v>
      </c>
    </row>
    <row r="611" spans="1:8">
      <c r="A611" s="271" t="s">
        <v>1432</v>
      </c>
      <c r="B611" s="271" t="s">
        <v>1433</v>
      </c>
      <c r="C611" s="271" t="s">
        <v>156</v>
      </c>
      <c r="D611" s="271" t="s">
        <v>162</v>
      </c>
      <c r="E611" s="271" t="s">
        <v>100</v>
      </c>
      <c r="F611" s="106">
        <v>171909</v>
      </c>
      <c r="G611" s="109"/>
      <c r="H611" s="108">
        <f t="shared" si="10"/>
        <v>171909</v>
      </c>
    </row>
    <row r="612" spans="1:8">
      <c r="A612" s="271" t="s">
        <v>1434</v>
      </c>
      <c r="B612" s="271" t="s">
        <v>1435</v>
      </c>
      <c r="C612" s="271" t="s">
        <v>156</v>
      </c>
      <c r="D612" s="271" t="s">
        <v>162</v>
      </c>
      <c r="E612" s="271" t="s">
        <v>100</v>
      </c>
      <c r="F612" s="106">
        <v>-171909</v>
      </c>
      <c r="G612" s="109"/>
      <c r="H612" s="108">
        <f t="shared" si="10"/>
        <v>-171909</v>
      </c>
    </row>
    <row r="613" spans="1:8">
      <c r="A613" s="271" t="s">
        <v>1436</v>
      </c>
      <c r="B613" s="271" t="s">
        <v>1437</v>
      </c>
      <c r="C613" s="271" t="s">
        <v>872</v>
      </c>
      <c r="D613" s="271" t="s">
        <v>162</v>
      </c>
      <c r="E613" s="271" t="s">
        <v>100</v>
      </c>
      <c r="F613" s="106">
        <v>0</v>
      </c>
      <c r="G613" s="109"/>
      <c r="H613" s="108">
        <f t="shared" si="10"/>
        <v>0</v>
      </c>
    </row>
    <row r="614" spans="1:8">
      <c r="A614" s="271" t="s">
        <v>1438</v>
      </c>
      <c r="B614" s="271" t="s">
        <v>1439</v>
      </c>
      <c r="C614" s="271" t="s">
        <v>872</v>
      </c>
      <c r="D614" s="271" t="s">
        <v>169</v>
      </c>
      <c r="E614" s="271" t="s">
        <v>1440</v>
      </c>
      <c r="F614" s="106">
        <v>-4212.8500000000004</v>
      </c>
      <c r="G614" s="109"/>
      <c r="H614" s="108"/>
    </row>
    <row r="615" spans="1:8">
      <c r="A615" s="271" t="s">
        <v>1441</v>
      </c>
      <c r="B615" s="271" t="s">
        <v>1442</v>
      </c>
      <c r="C615" s="271" t="s">
        <v>872</v>
      </c>
      <c r="D615" s="271" t="s">
        <v>169</v>
      </c>
      <c r="E615" s="271" t="s">
        <v>1443</v>
      </c>
      <c r="F615" s="106">
        <v>-3501535.09</v>
      </c>
      <c r="G615" s="109"/>
      <c r="H615" s="108"/>
    </row>
    <row r="616" spans="1:8">
      <c r="A616" s="271" t="s">
        <v>1444</v>
      </c>
      <c r="B616" s="271" t="s">
        <v>1445</v>
      </c>
      <c r="C616" s="271" t="s">
        <v>872</v>
      </c>
      <c r="D616" s="271" t="s">
        <v>169</v>
      </c>
      <c r="E616" s="271" t="s">
        <v>1446</v>
      </c>
      <c r="F616" s="106">
        <v>-71505993.299999997</v>
      </c>
      <c r="G616" s="109"/>
      <c r="H616" s="108"/>
    </row>
    <row r="617" spans="1:8">
      <c r="G617" s="1">
        <f>SUM(G3:G616)</f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16"/>
  <sheetViews>
    <sheetView topLeftCell="A268" workbookViewId="0">
      <selection activeCell="H286" sqref="H286"/>
    </sheetView>
  </sheetViews>
  <sheetFormatPr baseColWidth="10" defaultColWidth="9" defaultRowHeight="13"/>
  <cols>
    <col min="1" max="1" width="9" style="80"/>
    <col min="2" max="2" width="32.5" style="80" bestFit="1" customWidth="1"/>
    <col min="3" max="3" width="15.5" style="80" bestFit="1" customWidth="1"/>
    <col min="4" max="4" width="8" style="80" bestFit="1" customWidth="1"/>
    <col min="5" max="5" width="14" style="80" bestFit="1" customWidth="1"/>
    <col min="6" max="6" width="15" style="80" bestFit="1" customWidth="1"/>
    <col min="7" max="7" width="11" style="80" bestFit="1" customWidth="1"/>
    <col min="8" max="8" width="12" style="87" bestFit="1" customWidth="1"/>
    <col min="9" max="9" width="9.5" style="80" bestFit="1" customWidth="1"/>
    <col min="10" max="10" width="9" style="80"/>
    <col min="11" max="11" width="11" style="80" customWidth="1"/>
    <col min="12" max="12" width="33" style="80" bestFit="1" customWidth="1"/>
    <col min="13" max="15" width="11" style="80" bestFit="1" customWidth="1"/>
    <col min="16" max="16" width="8" style="80" bestFit="1" customWidth="1"/>
    <col min="17" max="16384" width="9" style="80"/>
  </cols>
  <sheetData>
    <row r="1" spans="1:8" ht="16">
      <c r="A1" s="23" t="s">
        <v>146</v>
      </c>
      <c r="B1" s="90"/>
      <c r="C1" s="90"/>
      <c r="D1" s="90"/>
      <c r="E1" s="90"/>
      <c r="F1" s="90" t="s">
        <v>2208</v>
      </c>
      <c r="G1" s="90"/>
      <c r="H1" s="155"/>
    </row>
    <row r="2" spans="1:8" ht="24">
      <c r="A2" s="24" t="s">
        <v>147</v>
      </c>
      <c r="B2" s="24" t="s">
        <v>148</v>
      </c>
      <c r="C2" s="24" t="s">
        <v>149</v>
      </c>
      <c r="D2" s="24" t="s">
        <v>150</v>
      </c>
      <c r="E2" s="24" t="s">
        <v>151</v>
      </c>
      <c r="F2" s="24" t="s">
        <v>152</v>
      </c>
      <c r="G2" s="508" t="s">
        <v>2209</v>
      </c>
      <c r="H2" s="509" t="s">
        <v>433</v>
      </c>
    </row>
    <row r="3" spans="1:8">
      <c r="A3" s="53" t="s">
        <v>154</v>
      </c>
      <c r="B3" s="53" t="s">
        <v>155</v>
      </c>
      <c r="C3" s="53" t="s">
        <v>156</v>
      </c>
      <c r="D3" s="53" t="s">
        <v>157</v>
      </c>
      <c r="E3" s="53" t="s">
        <v>100</v>
      </c>
      <c r="F3" s="83">
        <v>0</v>
      </c>
      <c r="G3" s="84"/>
      <c r="H3" s="88"/>
    </row>
    <row r="4" spans="1:8">
      <c r="A4" s="53" t="s">
        <v>158</v>
      </c>
      <c r="B4" s="53" t="s">
        <v>159</v>
      </c>
      <c r="C4" s="53" t="s">
        <v>156</v>
      </c>
      <c r="D4" s="53" t="s">
        <v>157</v>
      </c>
      <c r="E4" s="53" t="s">
        <v>100</v>
      </c>
      <c r="F4" s="83">
        <v>0</v>
      </c>
      <c r="G4" s="84"/>
      <c r="H4" s="88"/>
    </row>
    <row r="5" spans="1:8">
      <c r="A5" s="25" t="s">
        <v>160</v>
      </c>
      <c r="B5" s="25" t="s">
        <v>161</v>
      </c>
      <c r="C5" s="25" t="s">
        <v>156</v>
      </c>
      <c r="D5" s="25" t="s">
        <v>162</v>
      </c>
      <c r="E5" s="25" t="s">
        <v>100</v>
      </c>
      <c r="F5" s="81">
        <v>-7531857.5</v>
      </c>
      <c r="G5" s="508"/>
      <c r="H5" s="509">
        <f>F5</f>
        <v>-7531857.5</v>
      </c>
    </row>
    <row r="6" spans="1:8">
      <c r="A6" s="25" t="s">
        <v>163</v>
      </c>
      <c r="B6" s="25" t="s">
        <v>164</v>
      </c>
      <c r="C6" s="25" t="s">
        <v>156</v>
      </c>
      <c r="D6" s="25" t="s">
        <v>162</v>
      </c>
      <c r="E6" s="25" t="s">
        <v>100</v>
      </c>
      <c r="F6" s="81">
        <v>-643577.5</v>
      </c>
      <c r="G6" s="508"/>
      <c r="H6" s="509">
        <f t="shared" ref="H6:H69" si="0">F6</f>
        <v>-643577.5</v>
      </c>
    </row>
    <row r="7" spans="1:8">
      <c r="A7" s="25" t="s">
        <v>165</v>
      </c>
      <c r="B7" s="25" t="s">
        <v>166</v>
      </c>
      <c r="C7" s="25" t="s">
        <v>156</v>
      </c>
      <c r="D7" s="25" t="s">
        <v>162</v>
      </c>
      <c r="E7" s="25" t="s">
        <v>100</v>
      </c>
      <c r="F7" s="81">
        <v>-42755</v>
      </c>
      <c r="G7" s="508"/>
      <c r="H7" s="509">
        <f t="shared" si="0"/>
        <v>-42755</v>
      </c>
    </row>
    <row r="8" spans="1:8">
      <c r="A8" s="53" t="s">
        <v>167</v>
      </c>
      <c r="B8" s="53" t="s">
        <v>168</v>
      </c>
      <c r="C8" s="53" t="s">
        <v>156</v>
      </c>
      <c r="D8" s="53" t="s">
        <v>169</v>
      </c>
      <c r="E8" s="53" t="s">
        <v>170</v>
      </c>
      <c r="F8" s="83">
        <v>-8218190</v>
      </c>
      <c r="G8" s="84"/>
      <c r="H8" s="509"/>
    </row>
    <row r="9" spans="1:8">
      <c r="A9" s="53" t="s">
        <v>171</v>
      </c>
      <c r="B9" s="53" t="s">
        <v>172</v>
      </c>
      <c r="C9" s="53" t="s">
        <v>156</v>
      </c>
      <c r="D9" s="53" t="s">
        <v>157</v>
      </c>
      <c r="E9" s="53" t="s">
        <v>100</v>
      </c>
      <c r="F9" s="83">
        <v>0</v>
      </c>
      <c r="G9" s="84"/>
      <c r="H9" s="509"/>
    </row>
    <row r="10" spans="1:8">
      <c r="A10" s="25" t="s">
        <v>173</v>
      </c>
      <c r="B10" s="25" t="s">
        <v>174</v>
      </c>
      <c r="C10" s="25" t="s">
        <v>156</v>
      </c>
      <c r="D10" s="25" t="s">
        <v>162</v>
      </c>
      <c r="E10" s="25" t="s">
        <v>100</v>
      </c>
      <c r="F10" s="81">
        <v>-6373507</v>
      </c>
      <c r="G10" s="508">
        <v>185</v>
      </c>
      <c r="H10" s="509">
        <f>F10+G10</f>
        <v>-6373322</v>
      </c>
    </row>
    <row r="11" spans="1:8">
      <c r="A11" s="25" t="s">
        <v>175</v>
      </c>
      <c r="B11" s="25" t="s">
        <v>176</v>
      </c>
      <c r="C11" s="25" t="s">
        <v>156</v>
      </c>
      <c r="D11" s="25" t="s">
        <v>162</v>
      </c>
      <c r="E11" s="25" t="s">
        <v>100</v>
      </c>
      <c r="F11" s="81">
        <v>-249893</v>
      </c>
      <c r="G11" s="508"/>
      <c r="H11" s="509">
        <f t="shared" si="0"/>
        <v>-249893</v>
      </c>
    </row>
    <row r="12" spans="1:8">
      <c r="A12" s="25" t="s">
        <v>177</v>
      </c>
      <c r="B12" s="25" t="s">
        <v>178</v>
      </c>
      <c r="C12" s="25" t="s">
        <v>156</v>
      </c>
      <c r="D12" s="25" t="s">
        <v>162</v>
      </c>
      <c r="E12" s="25" t="s">
        <v>100</v>
      </c>
      <c r="F12" s="81">
        <v>-299145.89</v>
      </c>
      <c r="G12" s="508">
        <v>-185</v>
      </c>
      <c r="H12" s="509">
        <f>+F12+G12</f>
        <v>-299330.89</v>
      </c>
    </row>
    <row r="13" spans="1:8">
      <c r="A13" s="25" t="s">
        <v>179</v>
      </c>
      <c r="B13" s="25" t="s">
        <v>180</v>
      </c>
      <c r="C13" s="25" t="s">
        <v>156</v>
      </c>
      <c r="D13" s="25" t="s">
        <v>162</v>
      </c>
      <c r="E13" s="25" t="s">
        <v>100</v>
      </c>
      <c r="F13" s="81">
        <v>279698</v>
      </c>
      <c r="G13" s="508"/>
      <c r="H13" s="509">
        <f t="shared" si="0"/>
        <v>279698</v>
      </c>
    </row>
    <row r="14" spans="1:8">
      <c r="A14" s="25" t="s">
        <v>183</v>
      </c>
      <c r="B14" s="25" t="s">
        <v>184</v>
      </c>
      <c r="C14" s="25" t="s">
        <v>156</v>
      </c>
      <c r="D14" s="25" t="s">
        <v>162</v>
      </c>
      <c r="E14" s="25" t="s">
        <v>100</v>
      </c>
      <c r="F14" s="81">
        <v>-453564</v>
      </c>
      <c r="G14" s="508"/>
      <c r="H14" s="509">
        <f t="shared" si="0"/>
        <v>-453564</v>
      </c>
    </row>
    <row r="15" spans="1:8">
      <c r="A15" s="53" t="s">
        <v>185</v>
      </c>
      <c r="B15" s="53" t="s">
        <v>186</v>
      </c>
      <c r="C15" s="53" t="s">
        <v>156</v>
      </c>
      <c r="D15" s="53" t="s">
        <v>169</v>
      </c>
      <c r="E15" s="53" t="s">
        <v>187</v>
      </c>
      <c r="F15" s="83">
        <v>-7096411.8899999997</v>
      </c>
      <c r="G15" s="84"/>
      <c r="H15" s="509"/>
    </row>
    <row r="16" spans="1:8">
      <c r="A16" s="53" t="s">
        <v>188</v>
      </c>
      <c r="B16" s="53" t="s">
        <v>189</v>
      </c>
      <c r="C16" s="53" t="s">
        <v>156</v>
      </c>
      <c r="D16" s="53" t="s">
        <v>157</v>
      </c>
      <c r="E16" s="53" t="s">
        <v>100</v>
      </c>
      <c r="F16" s="83">
        <v>0</v>
      </c>
      <c r="G16" s="84"/>
      <c r="H16" s="509"/>
    </row>
    <row r="17" spans="1:8">
      <c r="A17" s="53" t="s">
        <v>190</v>
      </c>
      <c r="B17" s="53" t="s">
        <v>191</v>
      </c>
      <c r="C17" s="53" t="s">
        <v>156</v>
      </c>
      <c r="D17" s="53" t="s">
        <v>157</v>
      </c>
      <c r="E17" s="53" t="s">
        <v>100</v>
      </c>
      <c r="F17" s="83">
        <v>0</v>
      </c>
      <c r="G17" s="84"/>
      <c r="H17" s="509"/>
    </row>
    <row r="18" spans="1:8">
      <c r="A18" s="25" t="s">
        <v>192</v>
      </c>
      <c r="B18" s="25" t="s">
        <v>193</v>
      </c>
      <c r="C18" s="25" t="s">
        <v>156</v>
      </c>
      <c r="D18" s="25" t="s">
        <v>162</v>
      </c>
      <c r="E18" s="25" t="s">
        <v>100</v>
      </c>
      <c r="F18" s="81">
        <v>0</v>
      </c>
      <c r="G18" s="508">
        <f>-932-562938</f>
        <v>-563870</v>
      </c>
      <c r="H18" s="509">
        <f>+F18+G18</f>
        <v>-563870</v>
      </c>
    </row>
    <row r="19" spans="1:8">
      <c r="A19" s="53" t="s">
        <v>194</v>
      </c>
      <c r="B19" s="53" t="s">
        <v>195</v>
      </c>
      <c r="C19" s="53" t="s">
        <v>156</v>
      </c>
      <c r="D19" s="53" t="s">
        <v>169</v>
      </c>
      <c r="E19" s="53" t="s">
        <v>196</v>
      </c>
      <c r="F19" s="83">
        <v>0</v>
      </c>
      <c r="G19" s="84"/>
      <c r="H19" s="509"/>
    </row>
    <row r="20" spans="1:8">
      <c r="A20" s="53" t="s">
        <v>197</v>
      </c>
      <c r="B20" s="53" t="s">
        <v>198</v>
      </c>
      <c r="C20" s="53" t="s">
        <v>156</v>
      </c>
      <c r="D20" s="53" t="s">
        <v>157</v>
      </c>
      <c r="E20" s="53" t="s">
        <v>100</v>
      </c>
      <c r="F20" s="83">
        <v>0</v>
      </c>
      <c r="G20" s="84"/>
      <c r="H20" s="509"/>
    </row>
    <row r="21" spans="1:8">
      <c r="A21" s="25" t="s">
        <v>199</v>
      </c>
      <c r="B21" s="25" t="s">
        <v>200</v>
      </c>
      <c r="C21" s="25" t="s">
        <v>156</v>
      </c>
      <c r="D21" s="25" t="s">
        <v>162</v>
      </c>
      <c r="E21" s="25" t="s">
        <v>100</v>
      </c>
      <c r="F21" s="81">
        <v>0</v>
      </c>
      <c r="G21" s="508"/>
      <c r="H21" s="509">
        <f t="shared" si="0"/>
        <v>0</v>
      </c>
    </row>
    <row r="22" spans="1:8">
      <c r="A22" s="25" t="s">
        <v>201</v>
      </c>
      <c r="B22" s="25" t="s">
        <v>202</v>
      </c>
      <c r="C22" s="25" t="s">
        <v>156</v>
      </c>
      <c r="D22" s="25" t="s">
        <v>162</v>
      </c>
      <c r="E22" s="25" t="s">
        <v>100</v>
      </c>
      <c r="F22" s="81">
        <v>-3300</v>
      </c>
      <c r="G22" s="508"/>
      <c r="H22" s="509">
        <f t="shared" si="0"/>
        <v>-3300</v>
      </c>
    </row>
    <row r="23" spans="1:8">
      <c r="A23" s="25" t="s">
        <v>203</v>
      </c>
      <c r="B23" s="25" t="s">
        <v>2149</v>
      </c>
      <c r="C23" s="25" t="s">
        <v>156</v>
      </c>
      <c r="D23" s="25" t="s">
        <v>162</v>
      </c>
      <c r="E23" s="25" t="s">
        <v>100</v>
      </c>
      <c r="F23" s="81">
        <v>403.65</v>
      </c>
      <c r="G23" s="508"/>
      <c r="H23" s="509">
        <f t="shared" si="0"/>
        <v>403.65</v>
      </c>
    </row>
    <row r="24" spans="1:8">
      <c r="A24" s="25" t="s">
        <v>207</v>
      </c>
      <c r="B24" s="25" t="s">
        <v>208</v>
      </c>
      <c r="C24" s="25" t="s">
        <v>156</v>
      </c>
      <c r="D24" s="25" t="s">
        <v>162</v>
      </c>
      <c r="E24" s="25" t="s">
        <v>100</v>
      </c>
      <c r="F24" s="81">
        <v>0</v>
      </c>
      <c r="G24" s="508"/>
      <c r="H24" s="509">
        <f t="shared" si="0"/>
        <v>0</v>
      </c>
    </row>
    <row r="25" spans="1:8">
      <c r="A25" s="25" t="s">
        <v>209</v>
      </c>
      <c r="B25" s="25" t="s">
        <v>210</v>
      </c>
      <c r="C25" s="25" t="s">
        <v>156</v>
      </c>
      <c r="D25" s="25" t="s">
        <v>162</v>
      </c>
      <c r="E25" s="25" t="s">
        <v>100</v>
      </c>
      <c r="F25" s="81">
        <v>1893.13</v>
      </c>
      <c r="G25" s="508"/>
      <c r="H25" s="509">
        <f t="shared" si="0"/>
        <v>1893.13</v>
      </c>
    </row>
    <row r="26" spans="1:8">
      <c r="A26" s="25" t="s">
        <v>211</v>
      </c>
      <c r="B26" s="25" t="s">
        <v>212</v>
      </c>
      <c r="C26" s="25" t="s">
        <v>156</v>
      </c>
      <c r="D26" s="25" t="s">
        <v>162</v>
      </c>
      <c r="E26" s="25" t="s">
        <v>100</v>
      </c>
      <c r="F26" s="81">
        <v>0</v>
      </c>
      <c r="G26" s="508"/>
      <c r="H26" s="509">
        <f t="shared" si="0"/>
        <v>0</v>
      </c>
    </row>
    <row r="27" spans="1:8">
      <c r="A27" s="25" t="s">
        <v>213</v>
      </c>
      <c r="B27" s="25" t="s">
        <v>214</v>
      </c>
      <c r="C27" s="25" t="s">
        <v>156</v>
      </c>
      <c r="D27" s="25" t="s">
        <v>162</v>
      </c>
      <c r="E27" s="25" t="s">
        <v>100</v>
      </c>
      <c r="F27" s="81">
        <v>1800</v>
      </c>
      <c r="G27" s="508"/>
      <c r="H27" s="509">
        <f t="shared" si="0"/>
        <v>1800</v>
      </c>
    </row>
    <row r="28" spans="1:8">
      <c r="A28" s="25" t="s">
        <v>215</v>
      </c>
      <c r="B28" s="25" t="s">
        <v>216</v>
      </c>
      <c r="C28" s="25" t="s">
        <v>156</v>
      </c>
      <c r="D28" s="25" t="s">
        <v>162</v>
      </c>
      <c r="E28" s="25" t="s">
        <v>100</v>
      </c>
      <c r="F28" s="81">
        <v>0</v>
      </c>
      <c r="G28" s="508"/>
      <c r="H28" s="509">
        <f t="shared" si="0"/>
        <v>0</v>
      </c>
    </row>
    <row r="29" spans="1:8">
      <c r="A29" s="25" t="s">
        <v>217</v>
      </c>
      <c r="B29" s="25" t="s">
        <v>218</v>
      </c>
      <c r="C29" s="25" t="s">
        <v>156</v>
      </c>
      <c r="D29" s="25" t="s">
        <v>162</v>
      </c>
      <c r="E29" s="25" t="s">
        <v>100</v>
      </c>
      <c r="F29" s="81">
        <v>715.3</v>
      </c>
      <c r="G29" s="508"/>
      <c r="H29" s="509">
        <f t="shared" si="0"/>
        <v>715.3</v>
      </c>
    </row>
    <row r="30" spans="1:8">
      <c r="A30" s="25" t="s">
        <v>219</v>
      </c>
      <c r="B30" s="25" t="s">
        <v>220</v>
      </c>
      <c r="C30" s="25" t="s">
        <v>156</v>
      </c>
      <c r="D30" s="25" t="s">
        <v>162</v>
      </c>
      <c r="E30" s="25" t="s">
        <v>100</v>
      </c>
      <c r="F30" s="81">
        <v>1546.5</v>
      </c>
      <c r="G30" s="508"/>
      <c r="H30" s="509">
        <f t="shared" si="0"/>
        <v>1546.5</v>
      </c>
    </row>
    <row r="31" spans="1:8">
      <c r="A31" s="53" t="s">
        <v>221</v>
      </c>
      <c r="B31" s="53" t="s">
        <v>222</v>
      </c>
      <c r="C31" s="53" t="s">
        <v>156</v>
      </c>
      <c r="D31" s="53" t="s">
        <v>169</v>
      </c>
      <c r="E31" s="53" t="s">
        <v>223</v>
      </c>
      <c r="F31" s="83">
        <v>3058.58</v>
      </c>
      <c r="G31" s="84"/>
      <c r="H31" s="509"/>
    </row>
    <row r="32" spans="1:8">
      <c r="A32" s="53" t="s">
        <v>224</v>
      </c>
      <c r="B32" s="53" t="s">
        <v>225</v>
      </c>
      <c r="C32" s="53" t="s">
        <v>156</v>
      </c>
      <c r="D32" s="53" t="s">
        <v>157</v>
      </c>
      <c r="E32" s="53" t="s">
        <v>100</v>
      </c>
      <c r="F32" s="83">
        <v>0</v>
      </c>
      <c r="G32" s="84"/>
      <c r="H32" s="509"/>
    </row>
    <row r="33" spans="1:8">
      <c r="A33" s="25" t="s">
        <v>226</v>
      </c>
      <c r="B33" s="25" t="s">
        <v>227</v>
      </c>
      <c r="C33" s="25" t="s">
        <v>156</v>
      </c>
      <c r="D33" s="25" t="s">
        <v>162</v>
      </c>
      <c r="E33" s="25" t="s">
        <v>100</v>
      </c>
      <c r="F33" s="81">
        <v>-2474020</v>
      </c>
      <c r="G33" s="508"/>
      <c r="H33" s="509">
        <f t="shared" si="0"/>
        <v>-2474020</v>
      </c>
    </row>
    <row r="34" spans="1:8">
      <c r="A34" s="25" t="s">
        <v>228</v>
      </c>
      <c r="B34" s="25" t="s">
        <v>229</v>
      </c>
      <c r="C34" s="25" t="s">
        <v>156</v>
      </c>
      <c r="D34" s="25" t="s">
        <v>162</v>
      </c>
      <c r="E34" s="25" t="s">
        <v>100</v>
      </c>
      <c r="F34" s="81">
        <v>134205</v>
      </c>
      <c r="G34" s="508"/>
      <c r="H34" s="509">
        <f t="shared" si="0"/>
        <v>134205</v>
      </c>
    </row>
    <row r="35" spans="1:8">
      <c r="A35" s="25" t="s">
        <v>230</v>
      </c>
      <c r="B35" s="25" t="s">
        <v>231</v>
      </c>
      <c r="C35" s="25" t="s">
        <v>156</v>
      </c>
      <c r="D35" s="25" t="s">
        <v>162</v>
      </c>
      <c r="E35" s="25" t="s">
        <v>100</v>
      </c>
      <c r="F35" s="81">
        <v>41944.06</v>
      </c>
      <c r="G35" s="508"/>
      <c r="H35" s="509">
        <f t="shared" si="0"/>
        <v>41944.06</v>
      </c>
    </row>
    <row r="36" spans="1:8">
      <c r="A36" s="25" t="s">
        <v>232</v>
      </c>
      <c r="B36" s="25" t="s">
        <v>233</v>
      </c>
      <c r="C36" s="25" t="s">
        <v>156</v>
      </c>
      <c r="D36" s="25" t="s">
        <v>162</v>
      </c>
      <c r="E36" s="25" t="s">
        <v>100</v>
      </c>
      <c r="F36" s="81">
        <v>354997.6</v>
      </c>
      <c r="G36" s="508"/>
      <c r="H36" s="509">
        <f t="shared" si="0"/>
        <v>354997.6</v>
      </c>
    </row>
    <row r="37" spans="1:8">
      <c r="A37" s="25" t="s">
        <v>234</v>
      </c>
      <c r="B37" s="25" t="s">
        <v>235</v>
      </c>
      <c r="C37" s="25" t="s">
        <v>156</v>
      </c>
      <c r="D37" s="25" t="s">
        <v>162</v>
      </c>
      <c r="E37" s="25" t="s">
        <v>100</v>
      </c>
      <c r="F37" s="81">
        <v>-27903</v>
      </c>
      <c r="G37" s="508"/>
      <c r="H37" s="509">
        <f t="shared" si="0"/>
        <v>-27903</v>
      </c>
    </row>
    <row r="38" spans="1:8">
      <c r="A38" s="25" t="s">
        <v>236</v>
      </c>
      <c r="B38" s="25" t="s">
        <v>237</v>
      </c>
      <c r="C38" s="25" t="s">
        <v>156</v>
      </c>
      <c r="D38" s="25" t="s">
        <v>162</v>
      </c>
      <c r="E38" s="25" t="s">
        <v>100</v>
      </c>
      <c r="F38" s="81">
        <v>5673.33</v>
      </c>
      <c r="G38" s="508"/>
      <c r="H38" s="509">
        <f t="shared" si="0"/>
        <v>5673.33</v>
      </c>
    </row>
    <row r="39" spans="1:8">
      <c r="A39" s="25" t="s">
        <v>238</v>
      </c>
      <c r="B39" s="25" t="s">
        <v>239</v>
      </c>
      <c r="C39" s="25" t="s">
        <v>156</v>
      </c>
      <c r="D39" s="25" t="s">
        <v>162</v>
      </c>
      <c r="E39" s="25" t="s">
        <v>100</v>
      </c>
      <c r="F39" s="81">
        <v>1809745.63</v>
      </c>
      <c r="G39" s="508"/>
      <c r="H39" s="509">
        <f t="shared" si="0"/>
        <v>1809745.63</v>
      </c>
    </row>
    <row r="40" spans="1:8">
      <c r="A40" s="53" t="s">
        <v>240</v>
      </c>
      <c r="B40" s="53" t="s">
        <v>241</v>
      </c>
      <c r="C40" s="53" t="s">
        <v>156</v>
      </c>
      <c r="D40" s="53" t="s">
        <v>169</v>
      </c>
      <c r="E40" s="53" t="s">
        <v>242</v>
      </c>
      <c r="F40" s="83">
        <v>-155357.38</v>
      </c>
      <c r="G40" s="84"/>
      <c r="H40" s="509"/>
    </row>
    <row r="41" spans="1:8">
      <c r="A41" s="53" t="s">
        <v>243</v>
      </c>
      <c r="B41" s="53" t="s">
        <v>244</v>
      </c>
      <c r="C41" s="53" t="s">
        <v>156</v>
      </c>
      <c r="D41" s="53" t="s">
        <v>157</v>
      </c>
      <c r="E41" s="53" t="s">
        <v>100</v>
      </c>
      <c r="F41" s="83">
        <v>0</v>
      </c>
      <c r="G41" s="84"/>
      <c r="H41" s="509"/>
    </row>
    <row r="42" spans="1:8">
      <c r="A42" s="25" t="s">
        <v>245</v>
      </c>
      <c r="B42" s="25" t="s">
        <v>246</v>
      </c>
      <c r="C42" s="25" t="s">
        <v>156</v>
      </c>
      <c r="D42" s="25" t="s">
        <v>162</v>
      </c>
      <c r="E42" s="25" t="s">
        <v>100</v>
      </c>
      <c r="F42" s="81">
        <v>-468560.68</v>
      </c>
      <c r="G42" s="508">
        <v>-2046</v>
      </c>
      <c r="H42" s="509">
        <f>+F42+G42</f>
        <v>-470606.68</v>
      </c>
    </row>
    <row r="43" spans="1:8">
      <c r="A43" s="53" t="s">
        <v>247</v>
      </c>
      <c r="B43" s="53" t="s">
        <v>248</v>
      </c>
      <c r="C43" s="53" t="s">
        <v>156</v>
      </c>
      <c r="D43" s="53" t="s">
        <v>169</v>
      </c>
      <c r="E43" s="53" t="s">
        <v>249</v>
      </c>
      <c r="F43" s="83">
        <v>-468560.68</v>
      </c>
      <c r="G43" s="84"/>
      <c r="H43" s="509"/>
    </row>
    <row r="44" spans="1:8">
      <c r="A44" s="53" t="s">
        <v>250</v>
      </c>
      <c r="B44" s="53" t="s">
        <v>251</v>
      </c>
      <c r="C44" s="53" t="s">
        <v>156</v>
      </c>
      <c r="D44" s="53" t="s">
        <v>169</v>
      </c>
      <c r="E44" s="53" t="s">
        <v>252</v>
      </c>
      <c r="F44" s="83">
        <v>-620859.48</v>
      </c>
      <c r="G44" s="84"/>
      <c r="H44" s="509"/>
    </row>
    <row r="45" spans="1:8">
      <c r="A45" s="53" t="s">
        <v>253</v>
      </c>
      <c r="B45" s="53" t="s">
        <v>254</v>
      </c>
      <c r="C45" s="53" t="s">
        <v>156</v>
      </c>
      <c r="D45" s="53" t="s">
        <v>157</v>
      </c>
      <c r="E45" s="53" t="s">
        <v>100</v>
      </c>
      <c r="F45" s="83">
        <v>0</v>
      </c>
      <c r="G45" s="84"/>
      <c r="H45" s="509"/>
    </row>
    <row r="46" spans="1:8">
      <c r="A46" s="25" t="s">
        <v>255</v>
      </c>
      <c r="B46" s="25" t="s">
        <v>256</v>
      </c>
      <c r="C46" s="25" t="s">
        <v>156</v>
      </c>
      <c r="D46" s="25" t="s">
        <v>162</v>
      </c>
      <c r="E46" s="25" t="s">
        <v>100</v>
      </c>
      <c r="F46" s="81">
        <v>0</v>
      </c>
      <c r="G46" s="508"/>
      <c r="H46" s="509">
        <f t="shared" si="0"/>
        <v>0</v>
      </c>
    </row>
    <row r="47" spans="1:8">
      <c r="A47" s="25" t="s">
        <v>257</v>
      </c>
      <c r="B47" s="25" t="s">
        <v>258</v>
      </c>
      <c r="C47" s="25" t="s">
        <v>156</v>
      </c>
      <c r="D47" s="25" t="s">
        <v>162</v>
      </c>
      <c r="E47" s="25" t="s">
        <v>100</v>
      </c>
      <c r="F47" s="81">
        <v>0</v>
      </c>
      <c r="G47" s="508"/>
      <c r="H47" s="509">
        <f t="shared" si="0"/>
        <v>0</v>
      </c>
    </row>
    <row r="48" spans="1:8">
      <c r="A48" s="25" t="s">
        <v>259</v>
      </c>
      <c r="B48" s="25" t="s">
        <v>260</v>
      </c>
      <c r="C48" s="25" t="s">
        <v>156</v>
      </c>
      <c r="D48" s="25" t="s">
        <v>162</v>
      </c>
      <c r="E48" s="25" t="s">
        <v>100</v>
      </c>
      <c r="F48" s="81">
        <v>0</v>
      </c>
      <c r="G48" s="508"/>
      <c r="H48" s="509">
        <f t="shared" si="0"/>
        <v>0</v>
      </c>
    </row>
    <row r="49" spans="1:8">
      <c r="A49" s="25" t="s">
        <v>261</v>
      </c>
      <c r="B49" s="25" t="s">
        <v>262</v>
      </c>
      <c r="C49" s="25" t="s">
        <v>156</v>
      </c>
      <c r="D49" s="25" t="s">
        <v>162</v>
      </c>
      <c r="E49" s="25" t="s">
        <v>100</v>
      </c>
      <c r="F49" s="81">
        <v>0</v>
      </c>
      <c r="G49" s="508"/>
      <c r="H49" s="509">
        <f t="shared" si="0"/>
        <v>0</v>
      </c>
    </row>
    <row r="50" spans="1:8">
      <c r="A50" s="25" t="s">
        <v>263</v>
      </c>
      <c r="B50" s="25" t="s">
        <v>264</v>
      </c>
      <c r="C50" s="25" t="s">
        <v>156</v>
      </c>
      <c r="D50" s="25" t="s">
        <v>162</v>
      </c>
      <c r="E50" s="25" t="s">
        <v>100</v>
      </c>
      <c r="F50" s="81">
        <v>-20249.259999999998</v>
      </c>
      <c r="G50" s="508"/>
      <c r="H50" s="509">
        <f t="shared" si="0"/>
        <v>-20249.259999999998</v>
      </c>
    </row>
    <row r="51" spans="1:8">
      <c r="A51" s="25" t="s">
        <v>265</v>
      </c>
      <c r="B51" s="25" t="s">
        <v>266</v>
      </c>
      <c r="C51" s="25" t="s">
        <v>156</v>
      </c>
      <c r="D51" s="25" t="s">
        <v>162</v>
      </c>
      <c r="E51" s="25" t="s">
        <v>100</v>
      </c>
      <c r="F51" s="81">
        <v>6354.75</v>
      </c>
      <c r="G51" s="508"/>
      <c r="H51" s="509">
        <f t="shared" si="0"/>
        <v>6354.75</v>
      </c>
    </row>
    <row r="52" spans="1:8">
      <c r="A52" s="25" t="s">
        <v>267</v>
      </c>
      <c r="B52" s="25" t="s">
        <v>268</v>
      </c>
      <c r="C52" s="25" t="s">
        <v>156</v>
      </c>
      <c r="D52" s="25" t="s">
        <v>162</v>
      </c>
      <c r="E52" s="25" t="s">
        <v>100</v>
      </c>
      <c r="F52" s="81">
        <v>0</v>
      </c>
      <c r="G52" s="508"/>
      <c r="H52" s="509">
        <f t="shared" si="0"/>
        <v>0</v>
      </c>
    </row>
    <row r="53" spans="1:8">
      <c r="A53" s="25" t="s">
        <v>269</v>
      </c>
      <c r="B53" s="25" t="s">
        <v>270</v>
      </c>
      <c r="C53" s="25" t="s">
        <v>156</v>
      </c>
      <c r="D53" s="25" t="s">
        <v>162</v>
      </c>
      <c r="E53" s="25" t="s">
        <v>100</v>
      </c>
      <c r="F53" s="81">
        <v>-90892.800000000003</v>
      </c>
      <c r="G53" s="508"/>
      <c r="H53" s="509">
        <f t="shared" si="0"/>
        <v>-90892.800000000003</v>
      </c>
    </row>
    <row r="54" spans="1:8">
      <c r="A54" s="25" t="s">
        <v>271</v>
      </c>
      <c r="B54" s="25" t="s">
        <v>272</v>
      </c>
      <c r="C54" s="25" t="s">
        <v>156</v>
      </c>
      <c r="D54" s="25" t="s">
        <v>162</v>
      </c>
      <c r="E54" s="25" t="s">
        <v>100</v>
      </c>
      <c r="F54" s="81">
        <v>0</v>
      </c>
      <c r="G54" s="508"/>
      <c r="H54" s="509">
        <f t="shared" si="0"/>
        <v>0</v>
      </c>
    </row>
    <row r="55" spans="1:8">
      <c r="A55" s="25" t="s">
        <v>273</v>
      </c>
      <c r="B55" s="25" t="s">
        <v>274</v>
      </c>
      <c r="C55" s="25" t="s">
        <v>156</v>
      </c>
      <c r="D55" s="25" t="s">
        <v>162</v>
      </c>
      <c r="E55" s="25" t="s">
        <v>100</v>
      </c>
      <c r="F55" s="81">
        <v>-2899.8</v>
      </c>
      <c r="G55" s="508"/>
      <c r="H55" s="509">
        <f t="shared" si="0"/>
        <v>-2899.8</v>
      </c>
    </row>
    <row r="56" spans="1:8">
      <c r="A56" s="53" t="s">
        <v>275</v>
      </c>
      <c r="B56" s="53" t="s">
        <v>254</v>
      </c>
      <c r="C56" s="53" t="s">
        <v>156</v>
      </c>
      <c r="D56" s="53" t="s">
        <v>169</v>
      </c>
      <c r="E56" s="53" t="s">
        <v>276</v>
      </c>
      <c r="F56" s="83">
        <v>-107687.11</v>
      </c>
      <c r="G56" s="84"/>
      <c r="H56" s="509"/>
    </row>
    <row r="57" spans="1:8">
      <c r="A57" s="53" t="s">
        <v>277</v>
      </c>
      <c r="B57" s="53" t="s">
        <v>278</v>
      </c>
      <c r="C57" s="53" t="s">
        <v>156</v>
      </c>
      <c r="D57" s="53" t="s">
        <v>169</v>
      </c>
      <c r="E57" s="53" t="s">
        <v>279</v>
      </c>
      <c r="F57" s="83">
        <v>-16043148.48</v>
      </c>
      <c r="G57" s="84"/>
      <c r="H57" s="509"/>
    </row>
    <row r="58" spans="1:8">
      <c r="A58" s="53" t="s">
        <v>280</v>
      </c>
      <c r="B58" s="53" t="s">
        <v>281</v>
      </c>
      <c r="C58" s="53" t="s">
        <v>156</v>
      </c>
      <c r="D58" s="53" t="s">
        <v>157</v>
      </c>
      <c r="E58" s="53" t="s">
        <v>100</v>
      </c>
      <c r="F58" s="83">
        <v>0</v>
      </c>
      <c r="G58" s="84"/>
      <c r="H58" s="509"/>
    </row>
    <row r="59" spans="1:8">
      <c r="A59" s="53" t="s">
        <v>282</v>
      </c>
      <c r="B59" s="53" t="s">
        <v>281</v>
      </c>
      <c r="C59" s="53" t="s">
        <v>156</v>
      </c>
      <c r="D59" s="53" t="s">
        <v>157</v>
      </c>
      <c r="E59" s="53" t="s">
        <v>100</v>
      </c>
      <c r="F59" s="83">
        <v>0</v>
      </c>
      <c r="G59" s="84"/>
      <c r="H59" s="509"/>
    </row>
    <row r="60" spans="1:8">
      <c r="A60" s="53" t="s">
        <v>283</v>
      </c>
      <c r="B60" s="53" t="s">
        <v>284</v>
      </c>
      <c r="C60" s="53" t="s">
        <v>156</v>
      </c>
      <c r="D60" s="53" t="s">
        <v>157</v>
      </c>
      <c r="E60" s="53" t="s">
        <v>100</v>
      </c>
      <c r="F60" s="83">
        <v>0</v>
      </c>
      <c r="G60" s="84"/>
      <c r="H60" s="509"/>
    </row>
    <row r="61" spans="1:8">
      <c r="A61" s="53" t="s">
        <v>285</v>
      </c>
      <c r="B61" s="53" t="s">
        <v>286</v>
      </c>
      <c r="C61" s="53" t="s">
        <v>156</v>
      </c>
      <c r="D61" s="53" t="s">
        <v>157</v>
      </c>
      <c r="E61" s="53" t="s">
        <v>100</v>
      </c>
      <c r="F61" s="83">
        <v>0</v>
      </c>
      <c r="G61" s="84"/>
      <c r="H61" s="509"/>
    </row>
    <row r="62" spans="1:8">
      <c r="A62" s="25" t="s">
        <v>287</v>
      </c>
      <c r="B62" s="25" t="s">
        <v>288</v>
      </c>
      <c r="C62" s="25" t="s">
        <v>156</v>
      </c>
      <c r="D62" s="25" t="s">
        <v>162</v>
      </c>
      <c r="E62" s="25" t="s">
        <v>100</v>
      </c>
      <c r="F62" s="81">
        <v>7752132.6299999999</v>
      </c>
      <c r="G62" s="508"/>
      <c r="H62" s="509">
        <f t="shared" si="0"/>
        <v>7752132.6299999999</v>
      </c>
    </row>
    <row r="63" spans="1:8">
      <c r="A63" s="25" t="s">
        <v>289</v>
      </c>
      <c r="B63" s="25" t="s">
        <v>290</v>
      </c>
      <c r="C63" s="25" t="s">
        <v>156</v>
      </c>
      <c r="D63" s="25" t="s">
        <v>162</v>
      </c>
      <c r="E63" s="25" t="s">
        <v>100</v>
      </c>
      <c r="F63" s="81">
        <v>4480.32</v>
      </c>
      <c r="G63" s="508"/>
      <c r="H63" s="509">
        <f t="shared" si="0"/>
        <v>4480.32</v>
      </c>
    </row>
    <row r="64" spans="1:8">
      <c r="A64" s="25" t="s">
        <v>291</v>
      </c>
      <c r="B64" s="25" t="s">
        <v>292</v>
      </c>
      <c r="C64" s="25" t="s">
        <v>156</v>
      </c>
      <c r="D64" s="25" t="s">
        <v>162</v>
      </c>
      <c r="E64" s="25" t="s">
        <v>100</v>
      </c>
      <c r="F64" s="81">
        <v>0</v>
      </c>
      <c r="G64" s="508"/>
      <c r="H64" s="509">
        <f t="shared" si="0"/>
        <v>0</v>
      </c>
    </row>
    <row r="65" spans="1:8">
      <c r="A65" s="25" t="s">
        <v>293</v>
      </c>
      <c r="B65" s="25" t="s">
        <v>294</v>
      </c>
      <c r="C65" s="25" t="s">
        <v>156</v>
      </c>
      <c r="D65" s="25" t="s">
        <v>162</v>
      </c>
      <c r="E65" s="25" t="s">
        <v>100</v>
      </c>
      <c r="F65" s="81">
        <v>-213165.28</v>
      </c>
      <c r="G65" s="508"/>
      <c r="H65" s="509">
        <f t="shared" si="0"/>
        <v>-213165.28</v>
      </c>
    </row>
    <row r="66" spans="1:8">
      <c r="A66" s="25" t="s">
        <v>295</v>
      </c>
      <c r="B66" s="25" t="s">
        <v>296</v>
      </c>
      <c r="C66" s="25" t="s">
        <v>156</v>
      </c>
      <c r="D66" s="25" t="s">
        <v>162</v>
      </c>
      <c r="E66" s="25" t="s">
        <v>100</v>
      </c>
      <c r="F66" s="81">
        <v>361396.71</v>
      </c>
      <c r="G66" s="508"/>
      <c r="H66" s="509">
        <f t="shared" si="0"/>
        <v>361396.71</v>
      </c>
    </row>
    <row r="67" spans="1:8">
      <c r="A67" s="25" t="s">
        <v>297</v>
      </c>
      <c r="B67" s="25" t="s">
        <v>298</v>
      </c>
      <c r="C67" s="25" t="s">
        <v>156</v>
      </c>
      <c r="D67" s="25" t="s">
        <v>162</v>
      </c>
      <c r="E67" s="25" t="s">
        <v>100</v>
      </c>
      <c r="F67" s="81">
        <v>812977.14</v>
      </c>
      <c r="G67" s="508"/>
      <c r="H67" s="509">
        <f t="shared" si="0"/>
        <v>812977.14</v>
      </c>
    </row>
    <row r="68" spans="1:8">
      <c r="A68" s="25" t="s">
        <v>299</v>
      </c>
      <c r="B68" s="25" t="s">
        <v>300</v>
      </c>
      <c r="C68" s="25" t="s">
        <v>156</v>
      </c>
      <c r="D68" s="25" t="s">
        <v>162</v>
      </c>
      <c r="E68" s="25" t="s">
        <v>100</v>
      </c>
      <c r="F68" s="81">
        <v>280161.65000000002</v>
      </c>
      <c r="G68" s="508"/>
      <c r="H68" s="509">
        <f t="shared" si="0"/>
        <v>280161.65000000002</v>
      </c>
    </row>
    <row r="69" spans="1:8">
      <c r="A69" s="25" t="s">
        <v>301</v>
      </c>
      <c r="B69" s="25" t="s">
        <v>302</v>
      </c>
      <c r="C69" s="25" t="s">
        <v>156</v>
      </c>
      <c r="D69" s="25" t="s">
        <v>162</v>
      </c>
      <c r="E69" s="25" t="s">
        <v>100</v>
      </c>
      <c r="F69" s="81">
        <v>-948.08</v>
      </c>
      <c r="G69" s="508"/>
      <c r="H69" s="509">
        <f t="shared" si="0"/>
        <v>-948.08</v>
      </c>
    </row>
    <row r="70" spans="1:8">
      <c r="A70" s="25" t="s">
        <v>303</v>
      </c>
      <c r="B70" s="25" t="s">
        <v>304</v>
      </c>
      <c r="C70" s="25" t="s">
        <v>156</v>
      </c>
      <c r="D70" s="25" t="s">
        <v>162</v>
      </c>
      <c r="E70" s="25" t="s">
        <v>100</v>
      </c>
      <c r="F70" s="81">
        <v>-410127.72</v>
      </c>
      <c r="G70" s="508"/>
      <c r="H70" s="509">
        <f t="shared" ref="H70:H133" si="1">F70</f>
        <v>-410127.72</v>
      </c>
    </row>
    <row r="71" spans="1:8">
      <c r="A71" s="25" t="s">
        <v>305</v>
      </c>
      <c r="B71" s="25" t="s">
        <v>306</v>
      </c>
      <c r="C71" s="25" t="s">
        <v>156</v>
      </c>
      <c r="D71" s="25" t="s">
        <v>162</v>
      </c>
      <c r="E71" s="25" t="s">
        <v>100</v>
      </c>
      <c r="F71" s="81">
        <v>109050.21</v>
      </c>
      <c r="G71" s="508"/>
      <c r="H71" s="509">
        <f t="shared" si="1"/>
        <v>109050.21</v>
      </c>
    </row>
    <row r="72" spans="1:8">
      <c r="A72" s="25" t="s">
        <v>307</v>
      </c>
      <c r="B72" s="25" t="s">
        <v>308</v>
      </c>
      <c r="C72" s="25" t="s">
        <v>156</v>
      </c>
      <c r="D72" s="25" t="s">
        <v>162</v>
      </c>
      <c r="E72" s="25" t="s">
        <v>100</v>
      </c>
      <c r="F72" s="81">
        <v>-35948</v>
      </c>
      <c r="G72" s="508"/>
      <c r="H72" s="509">
        <f t="shared" si="1"/>
        <v>-35948</v>
      </c>
    </row>
    <row r="73" spans="1:8">
      <c r="A73" s="25" t="s">
        <v>309</v>
      </c>
      <c r="B73" s="25" t="s">
        <v>310</v>
      </c>
      <c r="C73" s="25" t="s">
        <v>156</v>
      </c>
      <c r="D73" s="25" t="s">
        <v>162</v>
      </c>
      <c r="E73" s="25" t="s">
        <v>100</v>
      </c>
      <c r="F73" s="81">
        <v>0</v>
      </c>
      <c r="G73" s="508"/>
      <c r="H73" s="509">
        <f t="shared" si="1"/>
        <v>0</v>
      </c>
    </row>
    <row r="74" spans="1:8">
      <c r="A74" s="53" t="s">
        <v>311</v>
      </c>
      <c r="B74" s="53" t="s">
        <v>312</v>
      </c>
      <c r="C74" s="53" t="s">
        <v>156</v>
      </c>
      <c r="D74" s="53" t="s">
        <v>169</v>
      </c>
      <c r="E74" s="53" t="s">
        <v>313</v>
      </c>
      <c r="F74" s="83">
        <v>8660009.5800000001</v>
      </c>
      <c r="G74" s="84"/>
      <c r="H74" s="509"/>
    </row>
    <row r="75" spans="1:8">
      <c r="A75" s="53" t="s">
        <v>314</v>
      </c>
      <c r="B75" s="53" t="s">
        <v>315</v>
      </c>
      <c r="C75" s="53" t="s">
        <v>156</v>
      </c>
      <c r="D75" s="53" t="s">
        <v>157</v>
      </c>
      <c r="E75" s="53" t="s">
        <v>100</v>
      </c>
      <c r="F75" s="83">
        <v>0</v>
      </c>
      <c r="G75" s="84"/>
      <c r="H75" s="509"/>
    </row>
    <row r="76" spans="1:8">
      <c r="A76" s="25" t="s">
        <v>316</v>
      </c>
      <c r="B76" s="25" t="s">
        <v>317</v>
      </c>
      <c r="C76" s="25" t="s">
        <v>156</v>
      </c>
      <c r="D76" s="25" t="s">
        <v>162</v>
      </c>
      <c r="E76" s="25" t="s">
        <v>100</v>
      </c>
      <c r="F76" s="81">
        <v>366824.59</v>
      </c>
      <c r="G76" s="508"/>
      <c r="H76" s="509">
        <f t="shared" si="1"/>
        <v>366824.59</v>
      </c>
    </row>
    <row r="77" spans="1:8">
      <c r="A77" s="25" t="s">
        <v>318</v>
      </c>
      <c r="B77" s="25" t="s">
        <v>319</v>
      </c>
      <c r="C77" s="25" t="s">
        <v>156</v>
      </c>
      <c r="D77" s="25" t="s">
        <v>162</v>
      </c>
      <c r="E77" s="25" t="s">
        <v>100</v>
      </c>
      <c r="F77" s="81">
        <v>0</v>
      </c>
      <c r="G77" s="508"/>
      <c r="H77" s="509">
        <f t="shared" si="1"/>
        <v>0</v>
      </c>
    </row>
    <row r="78" spans="1:8">
      <c r="A78" s="25" t="s">
        <v>320</v>
      </c>
      <c r="B78" s="25" t="s">
        <v>321</v>
      </c>
      <c r="C78" s="25" t="s">
        <v>156</v>
      </c>
      <c r="D78" s="25" t="s">
        <v>162</v>
      </c>
      <c r="E78" s="25" t="s">
        <v>100</v>
      </c>
      <c r="F78" s="81">
        <v>178758.88</v>
      </c>
      <c r="G78" s="508">
        <v>549.20000000000005</v>
      </c>
      <c r="H78" s="509">
        <f>F78+G78</f>
        <v>179308.08000000002</v>
      </c>
    </row>
    <row r="79" spans="1:8">
      <c r="A79" s="25" t="s">
        <v>322</v>
      </c>
      <c r="B79" s="25" t="s">
        <v>323</v>
      </c>
      <c r="C79" s="25" t="s">
        <v>156</v>
      </c>
      <c r="D79" s="25" t="s">
        <v>162</v>
      </c>
      <c r="E79" s="25" t="s">
        <v>100</v>
      </c>
      <c r="F79" s="81">
        <v>96411.99</v>
      </c>
      <c r="G79" s="508"/>
      <c r="H79" s="509">
        <f t="shared" si="1"/>
        <v>96411.99</v>
      </c>
    </row>
    <row r="80" spans="1:8">
      <c r="A80" s="25" t="s">
        <v>324</v>
      </c>
      <c r="B80" s="25" t="s">
        <v>325</v>
      </c>
      <c r="C80" s="25" t="s">
        <v>156</v>
      </c>
      <c r="D80" s="25" t="s">
        <v>162</v>
      </c>
      <c r="E80" s="25" t="s">
        <v>100</v>
      </c>
      <c r="F80" s="81">
        <v>8062.5</v>
      </c>
      <c r="G80" s="508"/>
      <c r="H80" s="509">
        <f t="shared" si="1"/>
        <v>8062.5</v>
      </c>
    </row>
    <row r="81" spans="1:8">
      <c r="A81" s="25" t="s">
        <v>326</v>
      </c>
      <c r="B81" s="25" t="s">
        <v>2150</v>
      </c>
      <c r="C81" s="25" t="s">
        <v>156</v>
      </c>
      <c r="D81" s="25" t="s">
        <v>162</v>
      </c>
      <c r="E81" s="25" t="s">
        <v>100</v>
      </c>
      <c r="F81" s="81">
        <v>67362.929999999993</v>
      </c>
      <c r="G81" s="508"/>
      <c r="H81" s="509">
        <f t="shared" si="1"/>
        <v>67362.929999999993</v>
      </c>
    </row>
    <row r="82" spans="1:8">
      <c r="A82" s="53" t="s">
        <v>328</v>
      </c>
      <c r="B82" s="53" t="s">
        <v>329</v>
      </c>
      <c r="C82" s="53" t="s">
        <v>156</v>
      </c>
      <c r="D82" s="53" t="s">
        <v>169</v>
      </c>
      <c r="E82" s="53" t="s">
        <v>330</v>
      </c>
      <c r="F82" s="83">
        <v>717420.89</v>
      </c>
      <c r="G82" s="84"/>
      <c r="H82" s="509"/>
    </row>
    <row r="83" spans="1:8">
      <c r="A83" s="53" t="s">
        <v>331</v>
      </c>
      <c r="B83" s="53" t="s">
        <v>332</v>
      </c>
      <c r="C83" s="53" t="s">
        <v>156</v>
      </c>
      <c r="D83" s="53" t="s">
        <v>157</v>
      </c>
      <c r="E83" s="53" t="s">
        <v>100</v>
      </c>
      <c r="F83" s="83">
        <v>0</v>
      </c>
      <c r="G83" s="84"/>
      <c r="H83" s="509"/>
    </row>
    <row r="84" spans="1:8">
      <c r="A84" s="25" t="s">
        <v>333</v>
      </c>
      <c r="B84" s="25" t="s">
        <v>334</v>
      </c>
      <c r="C84" s="25" t="s">
        <v>156</v>
      </c>
      <c r="D84" s="25" t="s">
        <v>162</v>
      </c>
      <c r="E84" s="25" t="s">
        <v>100</v>
      </c>
      <c r="F84" s="81">
        <v>224991.24</v>
      </c>
      <c r="G84" s="508">
        <v>11972.5</v>
      </c>
      <c r="H84" s="509">
        <f>F84+G84</f>
        <v>236963.74</v>
      </c>
    </row>
    <row r="85" spans="1:8">
      <c r="A85" s="25" t="s">
        <v>335</v>
      </c>
      <c r="B85" s="25" t="s">
        <v>336</v>
      </c>
      <c r="C85" s="25" t="s">
        <v>156</v>
      </c>
      <c r="D85" s="25" t="s">
        <v>162</v>
      </c>
      <c r="E85" s="25" t="s">
        <v>100</v>
      </c>
      <c r="F85" s="81">
        <v>106470.05</v>
      </c>
      <c r="G85" s="508"/>
      <c r="H85" s="509">
        <f t="shared" si="1"/>
        <v>106470.05</v>
      </c>
    </row>
    <row r="86" spans="1:8">
      <c r="A86" s="53" t="s">
        <v>337</v>
      </c>
      <c r="B86" s="53" t="s">
        <v>338</v>
      </c>
      <c r="C86" s="53" t="s">
        <v>156</v>
      </c>
      <c r="D86" s="53" t="s">
        <v>169</v>
      </c>
      <c r="E86" s="53" t="s">
        <v>339</v>
      </c>
      <c r="F86" s="83">
        <v>331461.28999999998</v>
      </c>
      <c r="G86" s="84"/>
      <c r="H86" s="509"/>
    </row>
    <row r="87" spans="1:8">
      <c r="A87" s="53" t="s">
        <v>340</v>
      </c>
      <c r="B87" s="53" t="s">
        <v>341</v>
      </c>
      <c r="C87" s="53" t="s">
        <v>156</v>
      </c>
      <c r="D87" s="53" t="s">
        <v>169</v>
      </c>
      <c r="E87" s="53" t="s">
        <v>342</v>
      </c>
      <c r="F87" s="83">
        <v>9708891.7599999998</v>
      </c>
      <c r="G87" s="84"/>
      <c r="H87" s="509"/>
    </row>
    <row r="88" spans="1:8">
      <c r="A88" s="25" t="s">
        <v>2151</v>
      </c>
      <c r="B88" s="25" t="s">
        <v>371</v>
      </c>
      <c r="C88" s="25" t="s">
        <v>156</v>
      </c>
      <c r="D88" s="25" t="s">
        <v>157</v>
      </c>
      <c r="E88" s="25" t="s">
        <v>100</v>
      </c>
      <c r="F88" s="81">
        <v>0</v>
      </c>
      <c r="G88" s="508"/>
      <c r="H88" s="509">
        <f t="shared" si="1"/>
        <v>0</v>
      </c>
    </row>
    <row r="89" spans="1:8">
      <c r="A89" s="25" t="s">
        <v>343</v>
      </c>
      <c r="B89" s="25" t="s">
        <v>2183</v>
      </c>
      <c r="C89" s="25" t="s">
        <v>156</v>
      </c>
      <c r="D89" s="25" t="s">
        <v>157</v>
      </c>
      <c r="E89" s="25" t="s">
        <v>100</v>
      </c>
      <c r="F89" s="81">
        <v>0</v>
      </c>
      <c r="G89" s="508"/>
      <c r="H89" s="509">
        <f t="shared" si="1"/>
        <v>0</v>
      </c>
    </row>
    <row r="90" spans="1:8">
      <c r="A90" s="25" t="s">
        <v>361</v>
      </c>
      <c r="B90" s="25" t="s">
        <v>2152</v>
      </c>
      <c r="C90" s="25" t="s">
        <v>156</v>
      </c>
      <c r="D90" s="25" t="s">
        <v>162</v>
      </c>
      <c r="E90" s="25" t="s">
        <v>100</v>
      </c>
      <c r="F90" s="81">
        <v>0</v>
      </c>
      <c r="G90" s="508"/>
      <c r="H90" s="509">
        <f t="shared" si="1"/>
        <v>0</v>
      </c>
    </row>
    <row r="91" spans="1:8">
      <c r="A91" s="25" t="s">
        <v>363</v>
      </c>
      <c r="B91" s="25" t="s">
        <v>2153</v>
      </c>
      <c r="C91" s="25" t="s">
        <v>156</v>
      </c>
      <c r="D91" s="25" t="s">
        <v>162</v>
      </c>
      <c r="E91" s="25" t="s">
        <v>100</v>
      </c>
      <c r="F91" s="81">
        <v>0</v>
      </c>
      <c r="G91" s="508"/>
      <c r="H91" s="509">
        <f t="shared" si="1"/>
        <v>0</v>
      </c>
    </row>
    <row r="92" spans="1:8">
      <c r="A92" s="25" t="s">
        <v>365</v>
      </c>
      <c r="B92" s="25" t="s">
        <v>366</v>
      </c>
      <c r="C92" s="25" t="s">
        <v>156</v>
      </c>
      <c r="D92" s="25" t="s">
        <v>162</v>
      </c>
      <c r="E92" s="25" t="s">
        <v>100</v>
      </c>
      <c r="F92" s="81">
        <v>0</v>
      </c>
      <c r="G92" s="508"/>
      <c r="H92" s="509">
        <f t="shared" si="1"/>
        <v>0</v>
      </c>
    </row>
    <row r="93" spans="1:8">
      <c r="A93" s="53" t="s">
        <v>2184</v>
      </c>
      <c r="B93" s="53" t="s">
        <v>2185</v>
      </c>
      <c r="C93" s="53" t="s">
        <v>156</v>
      </c>
      <c r="D93" s="53" t="s">
        <v>169</v>
      </c>
      <c r="E93" s="53" t="s">
        <v>2186</v>
      </c>
      <c r="F93" s="83">
        <v>0</v>
      </c>
      <c r="G93" s="84"/>
      <c r="H93" s="509"/>
    </row>
    <row r="94" spans="1:8">
      <c r="A94" s="53" t="s">
        <v>370</v>
      </c>
      <c r="B94" s="53" t="s">
        <v>2154</v>
      </c>
      <c r="C94" s="53" t="s">
        <v>156</v>
      </c>
      <c r="D94" s="53" t="s">
        <v>157</v>
      </c>
      <c r="E94" s="53" t="s">
        <v>100</v>
      </c>
      <c r="F94" s="83">
        <v>0</v>
      </c>
      <c r="G94" s="84"/>
      <c r="H94" s="509"/>
    </row>
    <row r="95" spans="1:8">
      <c r="A95" s="25" t="s">
        <v>374</v>
      </c>
      <c r="B95" s="25" t="s">
        <v>375</v>
      </c>
      <c r="C95" s="25" t="s">
        <v>156</v>
      </c>
      <c r="D95" s="25" t="s">
        <v>162</v>
      </c>
      <c r="E95" s="25" t="s">
        <v>100</v>
      </c>
      <c r="F95" s="81">
        <v>171955.20000000001</v>
      </c>
      <c r="G95" s="508"/>
      <c r="H95" s="509">
        <f t="shared" si="1"/>
        <v>171955.20000000001</v>
      </c>
    </row>
    <row r="96" spans="1:8">
      <c r="A96" s="25" t="s">
        <v>2155</v>
      </c>
      <c r="B96" s="25" t="s">
        <v>2156</v>
      </c>
      <c r="C96" s="25" t="s">
        <v>156</v>
      </c>
      <c r="D96" s="25" t="s">
        <v>162</v>
      </c>
      <c r="E96" s="25" t="s">
        <v>100</v>
      </c>
      <c r="F96" s="81">
        <v>0</v>
      </c>
      <c r="G96" s="508"/>
      <c r="H96" s="509">
        <f t="shared" si="1"/>
        <v>0</v>
      </c>
    </row>
    <row r="97" spans="1:8">
      <c r="A97" s="53" t="s">
        <v>378</v>
      </c>
      <c r="B97" s="53" t="s">
        <v>379</v>
      </c>
      <c r="C97" s="53" t="s">
        <v>156</v>
      </c>
      <c r="D97" s="53" t="s">
        <v>169</v>
      </c>
      <c r="E97" s="53" t="s">
        <v>2157</v>
      </c>
      <c r="F97" s="83">
        <v>171955.20000000001</v>
      </c>
      <c r="G97" s="84"/>
      <c r="H97" s="509"/>
    </row>
    <row r="98" spans="1:8">
      <c r="A98" s="53" t="s">
        <v>2187</v>
      </c>
      <c r="B98" s="53" t="s">
        <v>2210</v>
      </c>
      <c r="C98" s="53" t="s">
        <v>156</v>
      </c>
      <c r="D98" s="53" t="s">
        <v>157</v>
      </c>
      <c r="E98" s="53" t="s">
        <v>100</v>
      </c>
      <c r="F98" s="83">
        <v>0</v>
      </c>
      <c r="G98" s="84"/>
      <c r="H98" s="509"/>
    </row>
    <row r="99" spans="1:8">
      <c r="A99" s="25" t="s">
        <v>2188</v>
      </c>
      <c r="B99" s="25" t="s">
        <v>346</v>
      </c>
      <c r="C99" s="25" t="s">
        <v>156</v>
      </c>
      <c r="D99" s="25" t="s">
        <v>162</v>
      </c>
      <c r="E99" s="25" t="s">
        <v>100</v>
      </c>
      <c r="F99" s="81">
        <v>7752</v>
      </c>
      <c r="G99" s="508"/>
      <c r="H99" s="509">
        <f t="shared" si="1"/>
        <v>7752</v>
      </c>
    </row>
    <row r="100" spans="1:8">
      <c r="A100" s="25" t="s">
        <v>2189</v>
      </c>
      <c r="B100" s="25" t="s">
        <v>348</v>
      </c>
      <c r="C100" s="25" t="s">
        <v>156</v>
      </c>
      <c r="D100" s="25" t="s">
        <v>162</v>
      </c>
      <c r="E100" s="25" t="s">
        <v>100</v>
      </c>
      <c r="F100" s="81">
        <v>85457.72</v>
      </c>
      <c r="G100" s="508"/>
      <c r="H100" s="509">
        <f t="shared" si="1"/>
        <v>85457.72</v>
      </c>
    </row>
    <row r="101" spans="1:8">
      <c r="A101" s="25" t="s">
        <v>2190</v>
      </c>
      <c r="B101" s="25" t="s">
        <v>350</v>
      </c>
      <c r="C101" s="25" t="s">
        <v>156</v>
      </c>
      <c r="D101" s="25" t="s">
        <v>162</v>
      </c>
      <c r="E101" s="25" t="s">
        <v>100</v>
      </c>
      <c r="F101" s="81">
        <v>0</v>
      </c>
      <c r="G101" s="508"/>
      <c r="H101" s="509">
        <f t="shared" si="1"/>
        <v>0</v>
      </c>
    </row>
    <row r="102" spans="1:8">
      <c r="A102" s="25" t="s">
        <v>2191</v>
      </c>
      <c r="B102" s="25" t="s">
        <v>352</v>
      </c>
      <c r="C102" s="25" t="s">
        <v>156</v>
      </c>
      <c r="D102" s="25" t="s">
        <v>162</v>
      </c>
      <c r="E102" s="25" t="s">
        <v>100</v>
      </c>
      <c r="F102" s="81">
        <v>5042.88</v>
      </c>
      <c r="G102" s="508"/>
      <c r="H102" s="509">
        <f t="shared" si="1"/>
        <v>5042.88</v>
      </c>
    </row>
    <row r="103" spans="1:8">
      <c r="A103" s="25" t="s">
        <v>2192</v>
      </c>
      <c r="B103" s="25" t="s">
        <v>2211</v>
      </c>
      <c r="C103" s="25" t="s">
        <v>156</v>
      </c>
      <c r="D103" s="25" t="s">
        <v>162</v>
      </c>
      <c r="E103" s="25" t="s">
        <v>100</v>
      </c>
      <c r="F103" s="81">
        <v>41688</v>
      </c>
      <c r="G103" s="508">
        <v>-41688</v>
      </c>
      <c r="H103" s="509">
        <f>+F103+G103</f>
        <v>0</v>
      </c>
    </row>
    <row r="104" spans="1:8">
      <c r="A104" s="25" t="s">
        <v>2193</v>
      </c>
      <c r="B104" s="25" t="s">
        <v>356</v>
      </c>
      <c r="C104" s="25" t="s">
        <v>156</v>
      </c>
      <c r="D104" s="25" t="s">
        <v>162</v>
      </c>
      <c r="E104" s="25" t="s">
        <v>100</v>
      </c>
      <c r="F104" s="81">
        <v>7158</v>
      </c>
      <c r="G104" s="508"/>
      <c r="H104" s="509">
        <f t="shared" si="1"/>
        <v>7158</v>
      </c>
    </row>
    <row r="105" spans="1:8">
      <c r="A105" s="25" t="s">
        <v>2194</v>
      </c>
      <c r="B105" s="25" t="s">
        <v>2212</v>
      </c>
      <c r="C105" s="25" t="s">
        <v>156</v>
      </c>
      <c r="D105" s="25" t="s">
        <v>162</v>
      </c>
      <c r="E105" s="25" t="s">
        <v>100</v>
      </c>
      <c r="F105" s="81">
        <v>143204.47</v>
      </c>
      <c r="G105" s="508"/>
      <c r="H105" s="509">
        <f t="shared" si="1"/>
        <v>143204.47</v>
      </c>
    </row>
    <row r="106" spans="1:8">
      <c r="A106" s="25" t="s">
        <v>2195</v>
      </c>
      <c r="B106" s="25" t="s">
        <v>2213</v>
      </c>
      <c r="C106" s="25" t="s">
        <v>156</v>
      </c>
      <c r="D106" s="25" t="s">
        <v>162</v>
      </c>
      <c r="E106" s="25" t="s">
        <v>100</v>
      </c>
      <c r="F106" s="81">
        <v>0</v>
      </c>
      <c r="G106" s="508"/>
      <c r="H106" s="509">
        <f t="shared" si="1"/>
        <v>0</v>
      </c>
    </row>
    <row r="107" spans="1:8">
      <c r="A107" s="53" t="s">
        <v>2196</v>
      </c>
      <c r="B107" s="53" t="s">
        <v>2214</v>
      </c>
      <c r="C107" s="53" t="s">
        <v>156</v>
      </c>
      <c r="D107" s="53" t="s">
        <v>169</v>
      </c>
      <c r="E107" s="53" t="s">
        <v>2197</v>
      </c>
      <c r="F107" s="83">
        <v>290303.07</v>
      </c>
      <c r="G107" s="84"/>
      <c r="H107" s="509"/>
    </row>
    <row r="108" spans="1:8">
      <c r="A108" s="53" t="s">
        <v>381</v>
      </c>
      <c r="B108" s="53" t="s">
        <v>382</v>
      </c>
      <c r="C108" s="53" t="s">
        <v>156</v>
      </c>
      <c r="D108" s="53" t="s">
        <v>157</v>
      </c>
      <c r="E108" s="53" t="s">
        <v>100</v>
      </c>
      <c r="F108" s="83">
        <v>0</v>
      </c>
      <c r="G108" s="84"/>
      <c r="H108" s="509"/>
    </row>
    <row r="109" spans="1:8">
      <c r="A109" s="25" t="s">
        <v>383</v>
      </c>
      <c r="B109" s="25" t="s">
        <v>384</v>
      </c>
      <c r="C109" s="25" t="s">
        <v>156</v>
      </c>
      <c r="D109" s="25" t="s">
        <v>162</v>
      </c>
      <c r="E109" s="25" t="s">
        <v>100</v>
      </c>
      <c r="F109" s="81">
        <v>35655.019999999997</v>
      </c>
      <c r="G109" s="508"/>
      <c r="H109" s="509">
        <f t="shared" si="1"/>
        <v>35655.019999999997</v>
      </c>
    </row>
    <row r="110" spans="1:8">
      <c r="A110" s="25" t="s">
        <v>385</v>
      </c>
      <c r="B110" s="25" t="s">
        <v>386</v>
      </c>
      <c r="C110" s="25" t="s">
        <v>156</v>
      </c>
      <c r="D110" s="25" t="s">
        <v>162</v>
      </c>
      <c r="E110" s="25" t="s">
        <v>100</v>
      </c>
      <c r="F110" s="81">
        <v>74742.649999999994</v>
      </c>
      <c r="G110" s="508"/>
      <c r="H110" s="509">
        <f t="shared" si="1"/>
        <v>74742.649999999994</v>
      </c>
    </row>
    <row r="111" spans="1:8">
      <c r="A111" s="25" t="s">
        <v>387</v>
      </c>
      <c r="B111" s="25" t="s">
        <v>388</v>
      </c>
      <c r="C111" s="25" t="s">
        <v>156</v>
      </c>
      <c r="D111" s="25" t="s">
        <v>162</v>
      </c>
      <c r="E111" s="25" t="s">
        <v>100</v>
      </c>
      <c r="F111" s="81">
        <v>89215</v>
      </c>
      <c r="G111" s="508">
        <v>-31266</v>
      </c>
      <c r="H111" s="509">
        <f>F111+G111</f>
        <v>57949</v>
      </c>
    </row>
    <row r="112" spans="1:8">
      <c r="A112" s="25" t="s">
        <v>389</v>
      </c>
      <c r="B112" s="25" t="s">
        <v>390</v>
      </c>
      <c r="C112" s="25" t="s">
        <v>156</v>
      </c>
      <c r="D112" s="25" t="s">
        <v>162</v>
      </c>
      <c r="E112" s="25" t="s">
        <v>100</v>
      </c>
      <c r="F112" s="81">
        <v>16921.38</v>
      </c>
      <c r="G112" s="508"/>
      <c r="H112" s="509">
        <f t="shared" si="1"/>
        <v>16921.38</v>
      </c>
    </row>
    <row r="113" spans="1:8">
      <c r="A113" s="25" t="s">
        <v>391</v>
      </c>
      <c r="B113" s="25" t="s">
        <v>392</v>
      </c>
      <c r="C113" s="25" t="s">
        <v>156</v>
      </c>
      <c r="D113" s="25" t="s">
        <v>162</v>
      </c>
      <c r="E113" s="25" t="s">
        <v>100</v>
      </c>
      <c r="F113" s="81">
        <v>-24447.11</v>
      </c>
      <c r="G113" s="508">
        <v>41688</v>
      </c>
      <c r="H113" s="509">
        <f>F113+G113</f>
        <v>17240.89</v>
      </c>
    </row>
    <row r="114" spans="1:8">
      <c r="A114" s="25" t="s">
        <v>393</v>
      </c>
      <c r="B114" s="25" t="s">
        <v>394</v>
      </c>
      <c r="C114" s="25" t="s">
        <v>156</v>
      </c>
      <c r="D114" s="25" t="s">
        <v>162</v>
      </c>
      <c r="E114" s="25" t="s">
        <v>100</v>
      </c>
      <c r="F114" s="81">
        <v>14406.77</v>
      </c>
      <c r="G114" s="508"/>
      <c r="H114" s="509">
        <f t="shared" si="1"/>
        <v>14406.77</v>
      </c>
    </row>
    <row r="115" spans="1:8">
      <c r="A115" s="25" t="s">
        <v>395</v>
      </c>
      <c r="B115" s="25" t="s">
        <v>396</v>
      </c>
      <c r="C115" s="25" t="s">
        <v>156</v>
      </c>
      <c r="D115" s="25" t="s">
        <v>162</v>
      </c>
      <c r="E115" s="25" t="s">
        <v>100</v>
      </c>
      <c r="F115" s="81">
        <v>-3876.39</v>
      </c>
      <c r="G115" s="508"/>
      <c r="H115" s="509">
        <f t="shared" si="1"/>
        <v>-3876.39</v>
      </c>
    </row>
    <row r="116" spans="1:8">
      <c r="A116" s="25" t="s">
        <v>397</v>
      </c>
      <c r="B116" s="25" t="s">
        <v>398</v>
      </c>
      <c r="C116" s="25" t="s">
        <v>156</v>
      </c>
      <c r="D116" s="25" t="s">
        <v>162</v>
      </c>
      <c r="E116" s="25" t="s">
        <v>100</v>
      </c>
      <c r="F116" s="81">
        <v>20744.45</v>
      </c>
      <c r="G116" s="508"/>
      <c r="H116" s="509">
        <f t="shared" si="1"/>
        <v>20744.45</v>
      </c>
    </row>
    <row r="117" spans="1:8">
      <c r="A117" s="25" t="s">
        <v>399</v>
      </c>
      <c r="B117" s="25" t="s">
        <v>400</v>
      </c>
      <c r="C117" s="25" t="s">
        <v>156</v>
      </c>
      <c r="D117" s="25" t="s">
        <v>162</v>
      </c>
      <c r="E117" s="25" t="s">
        <v>100</v>
      </c>
      <c r="F117" s="81">
        <v>24202.84</v>
      </c>
      <c r="G117" s="508"/>
      <c r="H117" s="509">
        <f t="shared" si="1"/>
        <v>24202.84</v>
      </c>
    </row>
    <row r="118" spans="1:8">
      <c r="A118" s="25" t="s">
        <v>401</v>
      </c>
      <c r="B118" s="25" t="s">
        <v>402</v>
      </c>
      <c r="C118" s="25" t="s">
        <v>156</v>
      </c>
      <c r="D118" s="25" t="s">
        <v>162</v>
      </c>
      <c r="E118" s="25" t="s">
        <v>100</v>
      </c>
      <c r="F118" s="81">
        <v>41080.6</v>
      </c>
      <c r="G118" s="508"/>
      <c r="H118" s="509">
        <f t="shared" si="1"/>
        <v>41080.6</v>
      </c>
    </row>
    <row r="119" spans="1:8">
      <c r="A119" s="25" t="s">
        <v>403</v>
      </c>
      <c r="B119" s="25" t="s">
        <v>2023</v>
      </c>
      <c r="C119" s="25" t="s">
        <v>156</v>
      </c>
      <c r="D119" s="25" t="s">
        <v>162</v>
      </c>
      <c r="E119" s="25" t="s">
        <v>100</v>
      </c>
      <c r="F119" s="81">
        <v>0</v>
      </c>
      <c r="G119" s="508"/>
      <c r="H119" s="509">
        <f t="shared" si="1"/>
        <v>0</v>
      </c>
    </row>
    <row r="120" spans="1:8">
      <c r="A120" s="25" t="s">
        <v>405</v>
      </c>
      <c r="B120" s="25" t="s">
        <v>2215</v>
      </c>
      <c r="C120" s="25" t="s">
        <v>156</v>
      </c>
      <c r="D120" s="25" t="s">
        <v>162</v>
      </c>
      <c r="E120" s="25" t="s">
        <v>100</v>
      </c>
      <c r="F120" s="81">
        <v>0</v>
      </c>
      <c r="G120" s="508"/>
      <c r="H120" s="509">
        <f t="shared" si="1"/>
        <v>0</v>
      </c>
    </row>
    <row r="121" spans="1:8">
      <c r="A121" s="25" t="s">
        <v>407</v>
      </c>
      <c r="B121" s="25" t="s">
        <v>2216</v>
      </c>
      <c r="C121" s="25" t="s">
        <v>156</v>
      </c>
      <c r="D121" s="25" t="s">
        <v>162</v>
      </c>
      <c r="E121" s="25" t="s">
        <v>100</v>
      </c>
      <c r="F121" s="81">
        <v>0</v>
      </c>
      <c r="G121" s="508"/>
      <c r="H121" s="509">
        <f t="shared" si="1"/>
        <v>0</v>
      </c>
    </row>
    <row r="122" spans="1:8">
      <c r="A122" s="53" t="s">
        <v>408</v>
      </c>
      <c r="B122" s="53" t="s">
        <v>409</v>
      </c>
      <c r="C122" s="53" t="s">
        <v>156</v>
      </c>
      <c r="D122" s="53" t="s">
        <v>169</v>
      </c>
      <c r="E122" s="53" t="s">
        <v>410</v>
      </c>
      <c r="F122" s="83">
        <v>288645.21000000002</v>
      </c>
      <c r="G122" s="84"/>
      <c r="H122" s="509"/>
    </row>
    <row r="123" spans="1:8">
      <c r="A123" s="53" t="s">
        <v>411</v>
      </c>
      <c r="B123" s="53" t="s">
        <v>412</v>
      </c>
      <c r="C123" s="53" t="s">
        <v>156</v>
      </c>
      <c r="D123" s="53" t="s">
        <v>157</v>
      </c>
      <c r="E123" s="53" t="s">
        <v>100</v>
      </c>
      <c r="F123" s="83">
        <v>0</v>
      </c>
      <c r="G123" s="84"/>
      <c r="H123" s="509"/>
    </row>
    <row r="124" spans="1:8">
      <c r="A124" s="25" t="s">
        <v>413</v>
      </c>
      <c r="B124" s="25" t="s">
        <v>414</v>
      </c>
      <c r="C124" s="25" t="s">
        <v>156</v>
      </c>
      <c r="D124" s="25" t="s">
        <v>162</v>
      </c>
      <c r="E124" s="25" t="s">
        <v>100</v>
      </c>
      <c r="F124" s="81">
        <v>24000</v>
      </c>
      <c r="G124" s="508"/>
      <c r="H124" s="509">
        <f t="shared" si="1"/>
        <v>24000</v>
      </c>
    </row>
    <row r="125" spans="1:8">
      <c r="A125" s="53" t="s">
        <v>415</v>
      </c>
      <c r="B125" s="53" t="s">
        <v>416</v>
      </c>
      <c r="C125" s="53" t="s">
        <v>156</v>
      </c>
      <c r="D125" s="53" t="s">
        <v>169</v>
      </c>
      <c r="E125" s="53" t="s">
        <v>417</v>
      </c>
      <c r="F125" s="83">
        <v>24000</v>
      </c>
      <c r="G125" s="84"/>
      <c r="H125" s="509"/>
    </row>
    <row r="126" spans="1:8">
      <c r="A126" s="53" t="s">
        <v>418</v>
      </c>
      <c r="B126" s="53" t="s">
        <v>419</v>
      </c>
      <c r="C126" s="53" t="s">
        <v>156</v>
      </c>
      <c r="D126" s="53" t="s">
        <v>157</v>
      </c>
      <c r="E126" s="53" t="s">
        <v>100</v>
      </c>
      <c r="F126" s="83">
        <v>0</v>
      </c>
      <c r="G126" s="84"/>
      <c r="H126" s="509"/>
    </row>
    <row r="127" spans="1:8">
      <c r="A127" s="25" t="s">
        <v>420</v>
      </c>
      <c r="B127" s="25" t="s">
        <v>56</v>
      </c>
      <c r="C127" s="25" t="s">
        <v>156</v>
      </c>
      <c r="D127" s="25" t="s">
        <v>162</v>
      </c>
      <c r="E127" s="25" t="s">
        <v>100</v>
      </c>
      <c r="F127" s="81">
        <v>0</v>
      </c>
      <c r="G127" s="508"/>
      <c r="H127" s="509">
        <f t="shared" si="1"/>
        <v>0</v>
      </c>
    </row>
    <row r="128" spans="1:8">
      <c r="A128" s="53" t="s">
        <v>421</v>
      </c>
      <c r="B128" s="53" t="s">
        <v>422</v>
      </c>
      <c r="C128" s="53" t="s">
        <v>156</v>
      </c>
      <c r="D128" s="53" t="s">
        <v>169</v>
      </c>
      <c r="E128" s="53" t="s">
        <v>423</v>
      </c>
      <c r="F128" s="83">
        <v>0</v>
      </c>
      <c r="G128" s="84"/>
      <c r="H128" s="509"/>
    </row>
    <row r="129" spans="1:16">
      <c r="A129" s="53" t="s">
        <v>2158</v>
      </c>
      <c r="B129" s="53" t="s">
        <v>425</v>
      </c>
      <c r="C129" s="53" t="s">
        <v>156</v>
      </c>
      <c r="D129" s="53" t="s">
        <v>169</v>
      </c>
      <c r="E129" s="53" t="s">
        <v>2159</v>
      </c>
      <c r="F129" s="83">
        <v>774903.48</v>
      </c>
      <c r="G129" s="84"/>
      <c r="H129" s="509"/>
      <c r="I129" s="90"/>
      <c r="J129" s="90"/>
      <c r="K129" s="90"/>
      <c r="L129" s="90"/>
      <c r="M129" s="90"/>
      <c r="N129" s="90"/>
      <c r="O129" s="90"/>
      <c r="P129" s="90"/>
    </row>
    <row r="130" spans="1:16">
      <c r="A130" s="53" t="s">
        <v>427</v>
      </c>
      <c r="B130" s="53" t="s">
        <v>428</v>
      </c>
      <c r="C130" s="53" t="s">
        <v>156</v>
      </c>
      <c r="D130" s="53" t="s">
        <v>157</v>
      </c>
      <c r="E130" s="53" t="s">
        <v>100</v>
      </c>
      <c r="F130" s="83">
        <v>0</v>
      </c>
      <c r="G130" s="84"/>
      <c r="H130" s="509"/>
      <c r="I130" s="90"/>
      <c r="J130" s="90"/>
      <c r="K130" s="90"/>
      <c r="L130" s="90"/>
      <c r="M130" s="90"/>
      <c r="N130" s="90"/>
      <c r="O130" s="90"/>
      <c r="P130" s="90"/>
    </row>
    <row r="131" spans="1:16">
      <c r="A131" s="25" t="s">
        <v>430</v>
      </c>
      <c r="B131" s="25" t="s">
        <v>431</v>
      </c>
      <c r="C131" s="25" t="s">
        <v>156</v>
      </c>
      <c r="D131" s="25" t="s">
        <v>162</v>
      </c>
      <c r="E131" s="25" t="s">
        <v>100</v>
      </c>
      <c r="F131" s="81">
        <v>-120</v>
      </c>
      <c r="G131" s="508"/>
      <c r="H131" s="509">
        <f t="shared" si="1"/>
        <v>-120</v>
      </c>
      <c r="I131" s="90"/>
      <c r="J131" s="90"/>
      <c r="K131" s="90"/>
      <c r="L131" s="90"/>
      <c r="M131" s="90"/>
      <c r="N131" s="90"/>
      <c r="O131" s="90"/>
      <c r="P131" s="90"/>
    </row>
    <row r="132" spans="1:16">
      <c r="A132" s="25" t="s">
        <v>439</v>
      </c>
      <c r="B132" s="25" t="s">
        <v>440</v>
      </c>
      <c r="C132" s="25" t="s">
        <v>156</v>
      </c>
      <c r="D132" s="25" t="s">
        <v>162</v>
      </c>
      <c r="E132" s="25" t="s">
        <v>100</v>
      </c>
      <c r="F132" s="81">
        <v>-48820.58</v>
      </c>
      <c r="G132" s="508"/>
      <c r="H132" s="509">
        <f t="shared" si="1"/>
        <v>-48820.58</v>
      </c>
      <c r="I132" s="90"/>
      <c r="J132" s="90"/>
      <c r="K132" s="90"/>
      <c r="L132" s="90"/>
      <c r="M132" s="90"/>
      <c r="N132" s="90"/>
      <c r="O132" s="90"/>
      <c r="P132" s="90"/>
    </row>
    <row r="133" spans="1:16">
      <c r="A133" s="25" t="s">
        <v>441</v>
      </c>
      <c r="B133" s="25" t="s">
        <v>2160</v>
      </c>
      <c r="C133" s="25" t="s">
        <v>156</v>
      </c>
      <c r="D133" s="25" t="s">
        <v>162</v>
      </c>
      <c r="E133" s="25" t="s">
        <v>100</v>
      </c>
      <c r="F133" s="81">
        <v>0</v>
      </c>
      <c r="G133" s="508"/>
      <c r="H133" s="509">
        <f t="shared" si="1"/>
        <v>0</v>
      </c>
      <c r="I133" s="90"/>
      <c r="J133" s="90"/>
      <c r="K133" s="90"/>
      <c r="L133" s="90"/>
      <c r="M133" s="90"/>
      <c r="N133" s="90"/>
      <c r="O133" s="90"/>
      <c r="P133" s="90"/>
    </row>
    <row r="134" spans="1:16">
      <c r="A134" s="25" t="s">
        <v>443</v>
      </c>
      <c r="B134" s="25" t="s">
        <v>216</v>
      </c>
      <c r="C134" s="25" t="s">
        <v>156</v>
      </c>
      <c r="D134" s="25" t="s">
        <v>162</v>
      </c>
      <c r="E134" s="25" t="s">
        <v>100</v>
      </c>
      <c r="F134" s="81">
        <v>93507.199999999997</v>
      </c>
      <c r="G134" s="508"/>
      <c r="H134" s="509">
        <f t="shared" ref="H134:H197" si="2">F134</f>
        <v>93507.199999999997</v>
      </c>
      <c r="I134" s="90"/>
      <c r="J134" s="90"/>
      <c r="K134" s="90"/>
      <c r="L134" s="90"/>
      <c r="M134" s="90"/>
      <c r="N134" s="90"/>
      <c r="O134" s="90"/>
      <c r="P134" s="90"/>
    </row>
    <row r="135" spans="1:16">
      <c r="A135" s="25" t="s">
        <v>445</v>
      </c>
      <c r="B135" s="25" t="s">
        <v>446</v>
      </c>
      <c r="C135" s="25" t="s">
        <v>156</v>
      </c>
      <c r="D135" s="25" t="s">
        <v>162</v>
      </c>
      <c r="E135" s="25" t="s">
        <v>100</v>
      </c>
      <c r="F135" s="81">
        <v>366.6</v>
      </c>
      <c r="G135" s="508"/>
      <c r="H135" s="509">
        <f t="shared" si="2"/>
        <v>366.6</v>
      </c>
      <c r="I135" s="90"/>
      <c r="J135" s="90"/>
      <c r="K135" s="90"/>
      <c r="L135" s="90"/>
      <c r="M135" s="90"/>
      <c r="N135" s="90"/>
      <c r="O135" s="90"/>
      <c r="P135" s="90"/>
    </row>
    <row r="136" spans="1:16">
      <c r="A136" s="25" t="s">
        <v>447</v>
      </c>
      <c r="B136" s="25" t="s">
        <v>448</v>
      </c>
      <c r="C136" s="25" t="s">
        <v>156</v>
      </c>
      <c r="D136" s="25" t="s">
        <v>162</v>
      </c>
      <c r="E136" s="25" t="s">
        <v>100</v>
      </c>
      <c r="F136" s="81">
        <v>926633.76</v>
      </c>
      <c r="G136" s="508"/>
      <c r="H136" s="509">
        <f t="shared" si="2"/>
        <v>926633.76</v>
      </c>
      <c r="I136" s="90"/>
      <c r="J136" s="90"/>
      <c r="K136" s="90"/>
      <c r="L136" s="90"/>
      <c r="M136" s="90"/>
      <c r="N136" s="90"/>
      <c r="O136" s="90"/>
      <c r="P136" s="90"/>
    </row>
    <row r="137" spans="1:16">
      <c r="A137" s="25" t="s">
        <v>449</v>
      </c>
      <c r="B137" s="25" t="s">
        <v>2217</v>
      </c>
      <c r="C137" s="25" t="s">
        <v>156</v>
      </c>
      <c r="D137" s="25" t="s">
        <v>162</v>
      </c>
      <c r="E137" s="25" t="s">
        <v>100</v>
      </c>
      <c r="F137" s="81">
        <v>0</v>
      </c>
      <c r="G137" s="508"/>
      <c r="H137" s="509">
        <f t="shared" si="2"/>
        <v>0</v>
      </c>
      <c r="I137" s="90"/>
      <c r="J137" s="90"/>
      <c r="K137" s="90"/>
      <c r="L137" s="90"/>
      <c r="M137" s="90"/>
      <c r="N137" s="90"/>
      <c r="O137" s="90"/>
      <c r="P137" s="90"/>
    </row>
    <row r="138" spans="1:16">
      <c r="A138" s="25" t="s">
        <v>451</v>
      </c>
      <c r="B138" s="25" t="s">
        <v>2161</v>
      </c>
      <c r="C138" s="25" t="s">
        <v>156</v>
      </c>
      <c r="D138" s="25" t="s">
        <v>162</v>
      </c>
      <c r="E138" s="25" t="s">
        <v>100</v>
      </c>
      <c r="F138" s="81">
        <v>256846.09</v>
      </c>
      <c r="G138" s="508"/>
      <c r="H138" s="509">
        <f t="shared" si="2"/>
        <v>256846.09</v>
      </c>
      <c r="I138" s="90"/>
      <c r="J138" s="90"/>
      <c r="K138" s="90"/>
      <c r="L138" s="90"/>
      <c r="M138" s="90"/>
      <c r="N138" s="90"/>
      <c r="O138" s="90"/>
      <c r="P138" s="90"/>
    </row>
    <row r="139" spans="1:16">
      <c r="A139" s="25" t="s">
        <v>453</v>
      </c>
      <c r="B139" s="25" t="s">
        <v>454</v>
      </c>
      <c r="C139" s="25" t="s">
        <v>156</v>
      </c>
      <c r="D139" s="25" t="s">
        <v>162</v>
      </c>
      <c r="E139" s="25" t="s">
        <v>100</v>
      </c>
      <c r="F139" s="81">
        <v>0</v>
      </c>
      <c r="G139" s="508"/>
      <c r="H139" s="509">
        <f t="shared" si="2"/>
        <v>0</v>
      </c>
      <c r="I139" s="90"/>
      <c r="J139" s="90"/>
      <c r="K139" s="90"/>
      <c r="L139" s="90"/>
      <c r="M139" s="90"/>
      <c r="N139" s="90"/>
      <c r="O139" s="90"/>
      <c r="P139" s="90"/>
    </row>
    <row r="140" spans="1:16">
      <c r="A140" s="25" t="s">
        <v>455</v>
      </c>
      <c r="B140" s="25" t="s">
        <v>456</v>
      </c>
      <c r="C140" s="25" t="s">
        <v>156</v>
      </c>
      <c r="D140" s="25" t="s">
        <v>162</v>
      </c>
      <c r="E140" s="25" t="s">
        <v>100</v>
      </c>
      <c r="F140" s="81">
        <v>1633.13</v>
      </c>
      <c r="G140" s="508"/>
      <c r="H140" s="509">
        <f t="shared" si="2"/>
        <v>1633.13</v>
      </c>
      <c r="I140" s="90"/>
      <c r="J140" s="90"/>
      <c r="K140" s="90"/>
      <c r="L140" s="90"/>
      <c r="M140" s="90"/>
      <c r="N140" s="90"/>
      <c r="O140" s="90"/>
      <c r="P140" s="90"/>
    </row>
    <row r="141" spans="1:16">
      <c r="A141" s="25" t="s">
        <v>457</v>
      </c>
      <c r="B141" s="25" t="s">
        <v>458</v>
      </c>
      <c r="C141" s="25" t="s">
        <v>156</v>
      </c>
      <c r="D141" s="25" t="s">
        <v>162</v>
      </c>
      <c r="E141" s="25" t="s">
        <v>100</v>
      </c>
      <c r="F141" s="81">
        <v>142174.6</v>
      </c>
      <c r="G141" s="508"/>
      <c r="H141" s="509">
        <f t="shared" si="2"/>
        <v>142174.6</v>
      </c>
      <c r="I141" s="90"/>
      <c r="J141" s="90"/>
      <c r="K141" s="90"/>
      <c r="L141" s="90"/>
      <c r="M141" s="90"/>
      <c r="N141" s="90"/>
      <c r="O141" s="90"/>
      <c r="P141" s="90"/>
    </row>
    <row r="142" spans="1:16" ht="16">
      <c r="A142" s="25" t="s">
        <v>459</v>
      </c>
      <c r="B142" s="25" t="s">
        <v>460</v>
      </c>
      <c r="C142" s="25" t="s">
        <v>156</v>
      </c>
      <c r="D142" s="25" t="s">
        <v>162</v>
      </c>
      <c r="E142" s="25" t="s">
        <v>100</v>
      </c>
      <c r="F142" s="81">
        <v>8919.9699999999993</v>
      </c>
      <c r="G142" s="508"/>
      <c r="H142" s="509">
        <f t="shared" si="2"/>
        <v>8919.9699999999993</v>
      </c>
      <c r="I142" s="90"/>
      <c r="J142" s="90"/>
      <c r="K142" s="23" t="s">
        <v>429</v>
      </c>
      <c r="L142" s="90"/>
      <c r="M142" s="90"/>
      <c r="N142" s="90"/>
      <c r="O142" s="90"/>
      <c r="P142" s="90"/>
    </row>
    <row r="143" spans="1:16">
      <c r="A143" s="53" t="s">
        <v>461</v>
      </c>
      <c r="B143" s="53" t="s">
        <v>462</v>
      </c>
      <c r="C143" s="53" t="s">
        <v>156</v>
      </c>
      <c r="D143" s="53" t="s">
        <v>169</v>
      </c>
      <c r="E143" s="53" t="s">
        <v>463</v>
      </c>
      <c r="F143" s="83">
        <v>1381140.77</v>
      </c>
      <c r="G143" s="84"/>
      <c r="H143" s="509"/>
      <c r="I143" s="90"/>
      <c r="J143" s="90"/>
      <c r="K143" s="24" t="s">
        <v>432</v>
      </c>
      <c r="L143" s="24" t="s">
        <v>148</v>
      </c>
      <c r="M143" s="24" t="s">
        <v>433</v>
      </c>
      <c r="N143" s="24" t="s">
        <v>475</v>
      </c>
      <c r="O143" s="24" t="s">
        <v>476</v>
      </c>
      <c r="P143" s="24" t="s">
        <v>477</v>
      </c>
    </row>
    <row r="144" spans="1:16">
      <c r="A144" s="53" t="s">
        <v>464</v>
      </c>
      <c r="B144" s="53" t="s">
        <v>465</v>
      </c>
      <c r="C144" s="53" t="s">
        <v>156</v>
      </c>
      <c r="D144" s="53" t="s">
        <v>157</v>
      </c>
      <c r="E144" s="53" t="s">
        <v>100</v>
      </c>
      <c r="F144" s="83">
        <v>0</v>
      </c>
      <c r="G144" s="84"/>
      <c r="H144" s="509"/>
      <c r="I144" s="90"/>
      <c r="J144" s="90"/>
      <c r="K144" s="25" t="s">
        <v>464</v>
      </c>
      <c r="L144" s="25" t="s">
        <v>465</v>
      </c>
      <c r="M144" s="91">
        <v>0</v>
      </c>
      <c r="N144" s="91">
        <v>0</v>
      </c>
      <c r="O144" s="91">
        <v>0</v>
      </c>
      <c r="P144" s="91">
        <v>0</v>
      </c>
    </row>
    <row r="145" spans="1:16">
      <c r="A145" s="53" t="s">
        <v>466</v>
      </c>
      <c r="B145" s="53" t="s">
        <v>467</v>
      </c>
      <c r="C145" s="53" t="s">
        <v>156</v>
      </c>
      <c r="D145" s="53" t="s">
        <v>157</v>
      </c>
      <c r="E145" s="53" t="s">
        <v>100</v>
      </c>
      <c r="F145" s="83">
        <v>0</v>
      </c>
      <c r="G145" s="84"/>
      <c r="H145" s="509"/>
      <c r="I145" s="90"/>
      <c r="J145" s="90"/>
      <c r="K145" s="25" t="s">
        <v>466</v>
      </c>
      <c r="L145" s="25" t="s">
        <v>467</v>
      </c>
      <c r="M145" s="91">
        <v>0</v>
      </c>
      <c r="N145" s="91">
        <v>0</v>
      </c>
      <c r="O145" s="91">
        <v>0</v>
      </c>
      <c r="P145" s="91">
        <v>0</v>
      </c>
    </row>
    <row r="146" spans="1:16">
      <c r="A146" s="53" t="s">
        <v>468</v>
      </c>
      <c r="B146" s="53" t="s">
        <v>469</v>
      </c>
      <c r="C146" s="53" t="s">
        <v>156</v>
      </c>
      <c r="D146" s="53" t="s">
        <v>157</v>
      </c>
      <c r="E146" s="53" t="s">
        <v>100</v>
      </c>
      <c r="F146" s="83">
        <v>0</v>
      </c>
      <c r="G146" s="84"/>
      <c r="H146" s="509"/>
      <c r="I146" s="90"/>
      <c r="J146" s="90"/>
      <c r="K146" s="25" t="s">
        <v>468</v>
      </c>
      <c r="L146" s="25" t="s">
        <v>469</v>
      </c>
      <c r="M146" s="91">
        <v>0</v>
      </c>
      <c r="N146" s="91">
        <v>0</v>
      </c>
      <c r="O146" s="91">
        <v>0</v>
      </c>
      <c r="P146" s="91">
        <v>0</v>
      </c>
    </row>
    <row r="147" spans="1:16">
      <c r="A147" s="53" t="s">
        <v>470</v>
      </c>
      <c r="B147" s="53" t="s">
        <v>155</v>
      </c>
      <c r="C147" s="53" t="s">
        <v>156</v>
      </c>
      <c r="D147" s="53" t="s">
        <v>157</v>
      </c>
      <c r="E147" s="53" t="s">
        <v>100</v>
      </c>
      <c r="F147" s="83">
        <v>0</v>
      </c>
      <c r="G147" s="84"/>
      <c r="H147" s="509"/>
      <c r="I147" s="90"/>
      <c r="J147" s="90"/>
      <c r="K147" s="25" t="s">
        <v>470</v>
      </c>
      <c r="L147" s="25" t="s">
        <v>155</v>
      </c>
      <c r="M147" s="91">
        <v>0</v>
      </c>
      <c r="N147" s="91">
        <v>0</v>
      </c>
      <c r="O147" s="91">
        <v>0</v>
      </c>
      <c r="P147" s="91">
        <v>0</v>
      </c>
    </row>
    <row r="148" spans="1:16">
      <c r="A148" s="25" t="s">
        <v>471</v>
      </c>
      <c r="B148" s="25" t="s">
        <v>472</v>
      </c>
      <c r="C148" s="25" t="s">
        <v>156</v>
      </c>
      <c r="D148" s="25" t="s">
        <v>162</v>
      </c>
      <c r="E148" s="25" t="s">
        <v>100</v>
      </c>
      <c r="F148" s="81">
        <v>-3255086.56</v>
      </c>
      <c r="G148" s="508"/>
      <c r="H148" s="509">
        <f t="shared" si="2"/>
        <v>-3255086.56</v>
      </c>
      <c r="I148" s="90"/>
      <c r="J148" s="90"/>
      <c r="K148" s="25" t="s">
        <v>471</v>
      </c>
      <c r="L148" s="25" t="s">
        <v>472</v>
      </c>
      <c r="M148" s="91">
        <v>-3255086.56</v>
      </c>
      <c r="N148" s="91">
        <v>-1114551.24</v>
      </c>
      <c r="O148" s="91">
        <v>-2140534.8199999998</v>
      </c>
      <c r="P148" s="91">
        <v>-0.5</v>
      </c>
    </row>
    <row r="149" spans="1:16">
      <c r="A149" s="25" t="s">
        <v>473</v>
      </c>
      <c r="B149" s="25" t="s">
        <v>474</v>
      </c>
      <c r="C149" s="25" t="s">
        <v>156</v>
      </c>
      <c r="D149" s="25" t="s">
        <v>162</v>
      </c>
      <c r="E149" s="25" t="s">
        <v>100</v>
      </c>
      <c r="F149" s="81">
        <v>-2706318</v>
      </c>
      <c r="G149" s="508">
        <v>-19473</v>
      </c>
      <c r="H149" s="509">
        <f>F149+G149</f>
        <v>-2725791</v>
      </c>
      <c r="I149" s="90"/>
      <c r="J149" s="90"/>
      <c r="K149" s="25" t="s">
        <v>473</v>
      </c>
      <c r="L149" s="25" t="s">
        <v>474</v>
      </c>
      <c r="M149" s="91">
        <v>-2706318</v>
      </c>
      <c r="N149" s="91">
        <v>-167729</v>
      </c>
      <c r="O149" s="91">
        <v>-2538589</v>
      </c>
      <c r="P149" s="91">
        <v>0</v>
      </c>
    </row>
    <row r="150" spans="1:16">
      <c r="A150" s="25" t="s">
        <v>478</v>
      </c>
      <c r="B150" s="25" t="s">
        <v>479</v>
      </c>
      <c r="C150" s="25" t="s">
        <v>156</v>
      </c>
      <c r="D150" s="25" t="s">
        <v>162</v>
      </c>
      <c r="E150" s="25" t="s">
        <v>100</v>
      </c>
      <c r="F150" s="81">
        <v>185897.27</v>
      </c>
      <c r="G150" s="508"/>
      <c r="H150" s="509">
        <f t="shared" si="2"/>
        <v>185897.27</v>
      </c>
      <c r="I150" s="90"/>
      <c r="J150" s="90"/>
      <c r="K150" s="25" t="s">
        <v>478</v>
      </c>
      <c r="L150" s="25" t="s">
        <v>479</v>
      </c>
      <c r="M150" s="91">
        <v>185897.27</v>
      </c>
      <c r="N150" s="91">
        <v>63267.44</v>
      </c>
      <c r="O150" s="91">
        <v>122629.83</v>
      </c>
      <c r="P150" s="91">
        <v>0</v>
      </c>
    </row>
    <row r="151" spans="1:16">
      <c r="A151" s="25" t="s">
        <v>480</v>
      </c>
      <c r="B151" s="25" t="s">
        <v>481</v>
      </c>
      <c r="C151" s="25" t="s">
        <v>156</v>
      </c>
      <c r="D151" s="25" t="s">
        <v>162</v>
      </c>
      <c r="E151" s="25" t="s">
        <v>100</v>
      </c>
      <c r="F151" s="81">
        <v>-718736.08</v>
      </c>
      <c r="G151" s="508">
        <v>-59187.46</v>
      </c>
      <c r="H151" s="509">
        <f>F151+G151</f>
        <v>-777923.53999999992</v>
      </c>
      <c r="I151" s="90"/>
      <c r="J151" s="90"/>
      <c r="K151" s="25" t="s">
        <v>480</v>
      </c>
      <c r="L151" s="25" t="s">
        <v>481</v>
      </c>
      <c r="M151" s="91">
        <v>-718736.08</v>
      </c>
      <c r="N151" s="91">
        <v>-64060.25</v>
      </c>
      <c r="O151" s="91">
        <v>-609333.25</v>
      </c>
      <c r="P151" s="91">
        <v>-45342.58</v>
      </c>
    </row>
    <row r="152" spans="1:16">
      <c r="A152" s="53" t="s">
        <v>482</v>
      </c>
      <c r="B152" s="53" t="s">
        <v>278</v>
      </c>
      <c r="C152" s="53" t="s">
        <v>156</v>
      </c>
      <c r="D152" s="53" t="s">
        <v>169</v>
      </c>
      <c r="E152" s="53" t="s">
        <v>483</v>
      </c>
      <c r="F152" s="83">
        <v>-6494243.3700000001</v>
      </c>
      <c r="G152" s="84"/>
      <c r="H152" s="509"/>
      <c r="I152" s="90"/>
      <c r="J152" s="90"/>
      <c r="K152" s="53" t="s">
        <v>482</v>
      </c>
      <c r="L152" s="53" t="s">
        <v>278</v>
      </c>
      <c r="M152" s="92">
        <v>-6494243.3700000001</v>
      </c>
      <c r="N152" s="92"/>
      <c r="O152" s="92"/>
      <c r="P152" s="92"/>
    </row>
    <row r="153" spans="1:16">
      <c r="A153" s="53" t="s">
        <v>484</v>
      </c>
      <c r="B153" s="53" t="s">
        <v>485</v>
      </c>
      <c r="C153" s="53" t="s">
        <v>156</v>
      </c>
      <c r="D153" s="53" t="s">
        <v>157</v>
      </c>
      <c r="E153" s="53" t="s">
        <v>100</v>
      </c>
      <c r="F153" s="83">
        <v>0</v>
      </c>
      <c r="G153" s="84"/>
      <c r="H153" s="509"/>
      <c r="I153" s="90"/>
      <c r="J153" s="90"/>
      <c r="K153" s="53" t="s">
        <v>484</v>
      </c>
      <c r="L153" s="53" t="s">
        <v>485</v>
      </c>
      <c r="M153" s="92">
        <v>0</v>
      </c>
      <c r="N153" s="92"/>
      <c r="O153" s="92"/>
      <c r="P153" s="92"/>
    </row>
    <row r="154" spans="1:16">
      <c r="A154" s="25" t="s">
        <v>486</v>
      </c>
      <c r="B154" s="25" t="s">
        <v>487</v>
      </c>
      <c r="C154" s="25" t="s">
        <v>156</v>
      </c>
      <c r="D154" s="25" t="s">
        <v>162</v>
      </c>
      <c r="E154" s="25" t="s">
        <v>100</v>
      </c>
      <c r="F154" s="81">
        <v>264028.84999999998</v>
      </c>
      <c r="G154" s="508"/>
      <c r="H154" s="509">
        <f t="shared" si="2"/>
        <v>264028.84999999998</v>
      </c>
      <c r="I154" s="90"/>
      <c r="J154" s="90"/>
      <c r="K154" s="25" t="s">
        <v>486</v>
      </c>
      <c r="L154" s="25" t="s">
        <v>487</v>
      </c>
      <c r="M154" s="91">
        <v>264028.84999999998</v>
      </c>
      <c r="N154" s="94">
        <v>108704</v>
      </c>
      <c r="O154" s="94">
        <v>155324.85</v>
      </c>
      <c r="P154" s="94">
        <v>0</v>
      </c>
    </row>
    <row r="155" spans="1:16">
      <c r="A155" s="25" t="s">
        <v>488</v>
      </c>
      <c r="B155" s="25" t="s">
        <v>489</v>
      </c>
      <c r="C155" s="25" t="s">
        <v>156</v>
      </c>
      <c r="D155" s="25" t="s">
        <v>162</v>
      </c>
      <c r="E155" s="25" t="s">
        <v>100</v>
      </c>
      <c r="F155" s="81">
        <v>229862.25</v>
      </c>
      <c r="G155" s="508">
        <f>19473+2042.19</f>
        <v>21515.19</v>
      </c>
      <c r="H155" s="509">
        <f>F155+G155</f>
        <v>251377.44</v>
      </c>
      <c r="I155" s="90"/>
      <c r="J155" s="90"/>
      <c r="K155" s="25" t="s">
        <v>488</v>
      </c>
      <c r="L155" s="25" t="s">
        <v>489</v>
      </c>
      <c r="M155" s="91">
        <v>229862.25</v>
      </c>
      <c r="N155" s="94">
        <v>201300.4</v>
      </c>
      <c r="O155" s="94">
        <v>28561.85</v>
      </c>
      <c r="P155" s="94">
        <v>0</v>
      </c>
    </row>
    <row r="156" spans="1:16">
      <c r="A156" s="25" t="s">
        <v>490</v>
      </c>
      <c r="B156" s="25" t="s">
        <v>2218</v>
      </c>
      <c r="C156" s="25" t="s">
        <v>156</v>
      </c>
      <c r="D156" s="25" t="s">
        <v>162</v>
      </c>
      <c r="E156" s="25" t="s">
        <v>100</v>
      </c>
      <c r="F156" s="81">
        <v>44603.57</v>
      </c>
      <c r="G156" s="508">
        <f>-4172.42+4085.75+2017.9</f>
        <v>1931.23</v>
      </c>
      <c r="H156" s="509">
        <f>F156+G156</f>
        <v>46534.8</v>
      </c>
      <c r="I156" s="90"/>
      <c r="J156" s="90"/>
      <c r="K156" s="25" t="s">
        <v>490</v>
      </c>
      <c r="L156" s="25" t="s">
        <v>2218</v>
      </c>
      <c r="M156" s="91">
        <v>44603.57</v>
      </c>
      <c r="N156" s="94">
        <v>7576.57</v>
      </c>
      <c r="O156" s="94">
        <v>37027</v>
      </c>
      <c r="P156" s="94">
        <v>0</v>
      </c>
    </row>
    <row r="157" spans="1:16">
      <c r="A157" s="25" t="s">
        <v>492</v>
      </c>
      <c r="B157" s="25" t="s">
        <v>493</v>
      </c>
      <c r="C157" s="25" t="s">
        <v>156</v>
      </c>
      <c r="D157" s="25" t="s">
        <v>162</v>
      </c>
      <c r="E157" s="25" t="s">
        <v>100</v>
      </c>
      <c r="F157" s="81">
        <v>9092.65</v>
      </c>
      <c r="G157" s="508">
        <f>4172.42-4085.75+2135.04</f>
        <v>2221.71</v>
      </c>
      <c r="H157" s="509">
        <f>F157+G157</f>
        <v>11314.36</v>
      </c>
      <c r="I157" s="90"/>
      <c r="J157" s="90"/>
      <c r="K157" s="25" t="s">
        <v>492</v>
      </c>
      <c r="L157" s="25" t="s">
        <v>493</v>
      </c>
      <c r="M157" s="91">
        <v>9092.65</v>
      </c>
      <c r="N157" s="94">
        <v>9092.65</v>
      </c>
      <c r="O157" s="94">
        <v>0</v>
      </c>
      <c r="P157" s="94">
        <v>0</v>
      </c>
    </row>
    <row r="158" spans="1:16">
      <c r="A158" s="25" t="s">
        <v>494</v>
      </c>
      <c r="B158" s="25" t="s">
        <v>495</v>
      </c>
      <c r="C158" s="25" t="s">
        <v>156</v>
      </c>
      <c r="D158" s="25" t="s">
        <v>162</v>
      </c>
      <c r="E158" s="25" t="s">
        <v>100</v>
      </c>
      <c r="F158" s="81">
        <v>107843.56</v>
      </c>
      <c r="G158" s="508"/>
      <c r="H158" s="509">
        <f t="shared" si="2"/>
        <v>107843.56</v>
      </c>
      <c r="I158" s="90"/>
      <c r="J158" s="90"/>
      <c r="K158" s="25" t="s">
        <v>494</v>
      </c>
      <c r="L158" s="25" t="s">
        <v>495</v>
      </c>
      <c r="M158" s="91">
        <v>107843.56</v>
      </c>
      <c r="N158" s="94">
        <v>75259.89</v>
      </c>
      <c r="O158" s="94">
        <v>32583.67</v>
      </c>
      <c r="P158" s="94">
        <v>0</v>
      </c>
    </row>
    <row r="159" spans="1:16">
      <c r="A159" s="25" t="s">
        <v>496</v>
      </c>
      <c r="B159" s="25" t="s">
        <v>497</v>
      </c>
      <c r="C159" s="25" t="s">
        <v>156</v>
      </c>
      <c r="D159" s="25" t="s">
        <v>162</v>
      </c>
      <c r="E159" s="25" t="s">
        <v>100</v>
      </c>
      <c r="F159" s="81">
        <v>1176829.21</v>
      </c>
      <c r="G159" s="508">
        <v>-14067.86</v>
      </c>
      <c r="H159" s="509">
        <f>F159+G159</f>
        <v>1162761.3499999999</v>
      </c>
      <c r="I159" s="90">
        <f>+G156+G157+G159</f>
        <v>-9914.92</v>
      </c>
      <c r="J159" s="90"/>
      <c r="K159" s="25" t="s">
        <v>496</v>
      </c>
      <c r="L159" s="25" t="s">
        <v>497</v>
      </c>
      <c r="M159" s="91">
        <v>1176829.21</v>
      </c>
      <c r="N159" s="94">
        <v>450731.55</v>
      </c>
      <c r="O159" s="94">
        <v>715572.72</v>
      </c>
      <c r="P159" s="94">
        <v>10524.94</v>
      </c>
    </row>
    <row r="160" spans="1:16">
      <c r="A160" s="25" t="s">
        <v>498</v>
      </c>
      <c r="B160" s="25" t="s">
        <v>499</v>
      </c>
      <c r="C160" s="25" t="s">
        <v>156</v>
      </c>
      <c r="D160" s="25" t="s">
        <v>162</v>
      </c>
      <c r="E160" s="25" t="s">
        <v>100</v>
      </c>
      <c r="F160" s="81">
        <v>-12957.26</v>
      </c>
      <c r="G160" s="508"/>
      <c r="H160" s="509">
        <f t="shared" si="2"/>
        <v>-12957.26</v>
      </c>
      <c r="I160" s="90"/>
      <c r="J160" s="90"/>
      <c r="K160" s="25" t="s">
        <v>498</v>
      </c>
      <c r="L160" s="25" t="s">
        <v>499</v>
      </c>
      <c r="M160" s="91">
        <v>-12957.26</v>
      </c>
      <c r="N160" s="94">
        <v>0</v>
      </c>
      <c r="O160" s="94">
        <v>-11383.1</v>
      </c>
      <c r="P160" s="94">
        <v>-1574.16</v>
      </c>
    </row>
    <row r="161" spans="1:16">
      <c r="A161" s="25" t="s">
        <v>500</v>
      </c>
      <c r="B161" s="25" t="s">
        <v>501</v>
      </c>
      <c r="C161" s="25" t="s">
        <v>156</v>
      </c>
      <c r="D161" s="25" t="s">
        <v>162</v>
      </c>
      <c r="E161" s="25" t="s">
        <v>100</v>
      </c>
      <c r="F161" s="81">
        <v>90652.9</v>
      </c>
      <c r="G161" s="508"/>
      <c r="H161" s="509">
        <f t="shared" si="2"/>
        <v>90652.9</v>
      </c>
      <c r="I161" s="90"/>
      <c r="J161" s="90"/>
      <c r="K161" s="25" t="s">
        <v>500</v>
      </c>
      <c r="L161" s="25" t="s">
        <v>501</v>
      </c>
      <c r="M161" s="91">
        <v>90652.9</v>
      </c>
      <c r="N161" s="94">
        <v>0</v>
      </c>
      <c r="O161" s="94">
        <v>90652.9</v>
      </c>
      <c r="P161" s="94">
        <v>0</v>
      </c>
    </row>
    <row r="162" spans="1:16">
      <c r="A162" s="53" t="s">
        <v>502</v>
      </c>
      <c r="B162" s="53" t="s">
        <v>503</v>
      </c>
      <c r="C162" s="53" t="s">
        <v>156</v>
      </c>
      <c r="D162" s="53" t="s">
        <v>169</v>
      </c>
      <c r="E162" s="53" t="s">
        <v>504</v>
      </c>
      <c r="F162" s="83">
        <v>1909955.73</v>
      </c>
      <c r="G162" s="84"/>
      <c r="H162" s="509"/>
      <c r="I162" s="90"/>
      <c r="J162" s="90"/>
      <c r="K162" s="53" t="s">
        <v>502</v>
      </c>
      <c r="L162" s="53" t="s">
        <v>503</v>
      </c>
      <c r="M162" s="92">
        <v>1909955.73</v>
      </c>
      <c r="N162" s="92"/>
      <c r="O162" s="92"/>
      <c r="P162" s="92"/>
    </row>
    <row r="163" spans="1:16">
      <c r="A163" s="53" t="s">
        <v>505</v>
      </c>
      <c r="B163" s="53" t="s">
        <v>284</v>
      </c>
      <c r="C163" s="53" t="s">
        <v>156</v>
      </c>
      <c r="D163" s="53" t="s">
        <v>157</v>
      </c>
      <c r="E163" s="53" t="s">
        <v>100</v>
      </c>
      <c r="F163" s="83">
        <v>0</v>
      </c>
      <c r="G163" s="84"/>
      <c r="H163" s="509"/>
      <c r="I163" s="90"/>
      <c r="J163" s="90"/>
      <c r="K163" s="53" t="s">
        <v>505</v>
      </c>
      <c r="L163" s="53" t="s">
        <v>284</v>
      </c>
      <c r="M163" s="92">
        <v>0</v>
      </c>
      <c r="N163" s="92"/>
      <c r="O163" s="92"/>
      <c r="P163" s="92"/>
    </row>
    <row r="164" spans="1:16">
      <c r="A164" s="25" t="s">
        <v>506</v>
      </c>
      <c r="B164" s="25" t="s">
        <v>507</v>
      </c>
      <c r="C164" s="25" t="s">
        <v>156</v>
      </c>
      <c r="D164" s="25" t="s">
        <v>162</v>
      </c>
      <c r="E164" s="25" t="s">
        <v>100</v>
      </c>
      <c r="F164" s="81">
        <v>2361566.9</v>
      </c>
      <c r="G164" s="508"/>
      <c r="H164" s="509">
        <f t="shared" si="2"/>
        <v>2361566.9</v>
      </c>
      <c r="I164" s="90"/>
      <c r="J164" s="90"/>
      <c r="K164" s="25" t="s">
        <v>506</v>
      </c>
      <c r="L164" s="25" t="s">
        <v>507</v>
      </c>
      <c r="M164" s="91">
        <v>2361566.9</v>
      </c>
      <c r="N164" s="94">
        <v>648074.79</v>
      </c>
      <c r="O164" s="94">
        <v>1713492.11</v>
      </c>
      <c r="P164" s="94">
        <v>0</v>
      </c>
    </row>
    <row r="165" spans="1:16">
      <c r="A165" s="25" t="s">
        <v>508</v>
      </c>
      <c r="B165" s="25" t="s">
        <v>317</v>
      </c>
      <c r="C165" s="25" t="s">
        <v>156</v>
      </c>
      <c r="D165" s="25" t="s">
        <v>162</v>
      </c>
      <c r="E165" s="25" t="s">
        <v>100</v>
      </c>
      <c r="F165" s="81">
        <v>73749.62</v>
      </c>
      <c r="G165" s="508"/>
      <c r="H165" s="509">
        <f t="shared" si="2"/>
        <v>73749.62</v>
      </c>
      <c r="I165" s="90"/>
      <c r="J165" s="90"/>
      <c r="K165" s="25" t="s">
        <v>508</v>
      </c>
      <c r="L165" s="25" t="s">
        <v>317</v>
      </c>
      <c r="M165" s="91">
        <v>73749.62</v>
      </c>
      <c r="N165" s="94">
        <v>12736.94</v>
      </c>
      <c r="O165" s="94">
        <v>61012.68</v>
      </c>
      <c r="P165" s="94">
        <v>0</v>
      </c>
    </row>
    <row r="166" spans="1:16">
      <c r="A166" s="25" t="s">
        <v>509</v>
      </c>
      <c r="B166" s="25" t="s">
        <v>294</v>
      </c>
      <c r="C166" s="25" t="s">
        <v>156</v>
      </c>
      <c r="D166" s="25" t="s">
        <v>162</v>
      </c>
      <c r="E166" s="25" t="s">
        <v>100</v>
      </c>
      <c r="F166" s="81">
        <v>-226485</v>
      </c>
      <c r="G166" s="508"/>
      <c r="H166" s="509">
        <f t="shared" si="2"/>
        <v>-226485</v>
      </c>
      <c r="I166" s="90"/>
      <c r="J166" s="90"/>
      <c r="K166" s="25" t="s">
        <v>509</v>
      </c>
      <c r="L166" s="25" t="s">
        <v>294</v>
      </c>
      <c r="M166" s="91">
        <v>-226485</v>
      </c>
      <c r="N166" s="94">
        <v>-6485</v>
      </c>
      <c r="O166" s="94">
        <v>-220000</v>
      </c>
      <c r="P166" s="94">
        <v>0</v>
      </c>
    </row>
    <row r="167" spans="1:16">
      <c r="A167" s="25" t="s">
        <v>510</v>
      </c>
      <c r="B167" s="25" t="s">
        <v>511</v>
      </c>
      <c r="C167" s="25" t="s">
        <v>156</v>
      </c>
      <c r="D167" s="25" t="s">
        <v>162</v>
      </c>
      <c r="E167" s="25" t="s">
        <v>100</v>
      </c>
      <c r="F167" s="81">
        <v>119319.67</v>
      </c>
      <c r="G167" s="508"/>
      <c r="H167" s="509">
        <f t="shared" si="2"/>
        <v>119319.67</v>
      </c>
      <c r="I167" s="90"/>
      <c r="J167" s="90"/>
      <c r="K167" s="25" t="s">
        <v>510</v>
      </c>
      <c r="L167" s="25" t="s">
        <v>511</v>
      </c>
      <c r="M167" s="91">
        <v>119319.67</v>
      </c>
      <c r="N167" s="94">
        <v>24238.38</v>
      </c>
      <c r="O167" s="94">
        <v>95081.29</v>
      </c>
      <c r="P167" s="94">
        <v>0</v>
      </c>
    </row>
    <row r="168" spans="1:16">
      <c r="A168" s="25" t="s">
        <v>512</v>
      </c>
      <c r="B168" s="25" t="s">
        <v>513</v>
      </c>
      <c r="C168" s="25" t="s">
        <v>156</v>
      </c>
      <c r="D168" s="25" t="s">
        <v>162</v>
      </c>
      <c r="E168" s="25" t="s">
        <v>100</v>
      </c>
      <c r="F168" s="81">
        <v>249477.75</v>
      </c>
      <c r="G168" s="508"/>
      <c r="H168" s="509">
        <f t="shared" si="2"/>
        <v>249477.75</v>
      </c>
      <c r="I168" s="90"/>
      <c r="J168" s="90"/>
      <c r="K168" s="25" t="s">
        <v>512</v>
      </c>
      <c r="L168" s="25" t="s">
        <v>513</v>
      </c>
      <c r="M168" s="91">
        <v>249477.75</v>
      </c>
      <c r="N168" s="94">
        <v>64459.33</v>
      </c>
      <c r="O168" s="94">
        <v>185018.42</v>
      </c>
      <c r="P168" s="94">
        <v>0</v>
      </c>
    </row>
    <row r="169" spans="1:16">
      <c r="A169" s="25" t="s">
        <v>514</v>
      </c>
      <c r="B169" s="25" t="s">
        <v>515</v>
      </c>
      <c r="C169" s="25" t="s">
        <v>156</v>
      </c>
      <c r="D169" s="25" t="s">
        <v>162</v>
      </c>
      <c r="E169" s="25" t="s">
        <v>100</v>
      </c>
      <c r="F169" s="81">
        <v>71886.259999999995</v>
      </c>
      <c r="G169" s="508"/>
      <c r="H169" s="509">
        <f t="shared" si="2"/>
        <v>71886.259999999995</v>
      </c>
      <c r="I169" s="90"/>
      <c r="J169" s="90"/>
      <c r="K169" s="25" t="s">
        <v>514</v>
      </c>
      <c r="L169" s="25" t="s">
        <v>515</v>
      </c>
      <c r="M169" s="91">
        <v>71886.259999999995</v>
      </c>
      <c r="N169" s="94">
        <v>25715.48</v>
      </c>
      <c r="O169" s="94">
        <v>46170.78</v>
      </c>
      <c r="P169" s="94">
        <v>0</v>
      </c>
    </row>
    <row r="170" spans="1:16">
      <c r="A170" s="25" t="s">
        <v>2198</v>
      </c>
      <c r="B170" s="25" t="s">
        <v>300</v>
      </c>
      <c r="C170" s="25" t="s">
        <v>156</v>
      </c>
      <c r="D170" s="25" t="s">
        <v>162</v>
      </c>
      <c r="E170" s="25" t="s">
        <v>100</v>
      </c>
      <c r="F170" s="81">
        <v>34977.57</v>
      </c>
      <c r="G170" s="508"/>
      <c r="H170" s="509">
        <f t="shared" si="2"/>
        <v>34977.57</v>
      </c>
      <c r="I170" s="90"/>
      <c r="J170" s="90"/>
      <c r="K170" s="25" t="s">
        <v>2198</v>
      </c>
      <c r="L170" s="25" t="s">
        <v>300</v>
      </c>
      <c r="M170" s="91">
        <v>34977.57</v>
      </c>
      <c r="N170" s="94">
        <v>0</v>
      </c>
      <c r="O170" s="94">
        <v>34977.57</v>
      </c>
      <c r="P170" s="94">
        <v>0</v>
      </c>
    </row>
    <row r="171" spans="1:16">
      <c r="A171" s="25" t="s">
        <v>516</v>
      </c>
      <c r="B171" s="25" t="s">
        <v>306</v>
      </c>
      <c r="C171" s="25" t="s">
        <v>156</v>
      </c>
      <c r="D171" s="25" t="s">
        <v>162</v>
      </c>
      <c r="E171" s="25" t="s">
        <v>100</v>
      </c>
      <c r="F171" s="81">
        <v>53111.78</v>
      </c>
      <c r="G171" s="508"/>
      <c r="H171" s="509">
        <f t="shared" si="2"/>
        <v>53111.78</v>
      </c>
      <c r="I171" s="90"/>
      <c r="J171" s="90"/>
      <c r="K171" s="25" t="s">
        <v>516</v>
      </c>
      <c r="L171" s="25" t="s">
        <v>306</v>
      </c>
      <c r="M171" s="91">
        <v>53111.78</v>
      </c>
      <c r="N171" s="94">
        <v>26556.400000000001</v>
      </c>
      <c r="O171" s="94">
        <v>26555.38</v>
      </c>
      <c r="P171" s="94">
        <v>0</v>
      </c>
    </row>
    <row r="172" spans="1:16">
      <c r="A172" s="25" t="s">
        <v>518</v>
      </c>
      <c r="B172" s="25" t="s">
        <v>519</v>
      </c>
      <c r="C172" s="25" t="s">
        <v>156</v>
      </c>
      <c r="D172" s="25" t="s">
        <v>162</v>
      </c>
      <c r="E172" s="25" t="s">
        <v>100</v>
      </c>
      <c r="F172" s="81">
        <v>143929.54999999999</v>
      </c>
      <c r="G172" s="508"/>
      <c r="H172" s="509">
        <f t="shared" si="2"/>
        <v>143929.54999999999</v>
      </c>
      <c r="I172" s="90"/>
      <c r="J172" s="90"/>
      <c r="K172" s="25" t="s">
        <v>518</v>
      </c>
      <c r="L172" s="25" t="s">
        <v>519</v>
      </c>
      <c r="M172" s="91">
        <v>143929.54999999999</v>
      </c>
      <c r="N172" s="94">
        <v>19736.32</v>
      </c>
      <c r="O172" s="94">
        <v>124193.23</v>
      </c>
      <c r="P172" s="94">
        <v>0</v>
      </c>
    </row>
    <row r="173" spans="1:16">
      <c r="A173" s="25" t="s">
        <v>520</v>
      </c>
      <c r="B173" s="25" t="s">
        <v>521</v>
      </c>
      <c r="C173" s="25" t="s">
        <v>156</v>
      </c>
      <c r="D173" s="25" t="s">
        <v>162</v>
      </c>
      <c r="E173" s="25" t="s">
        <v>100</v>
      </c>
      <c r="F173" s="81">
        <v>3912.27</v>
      </c>
      <c r="G173" s="508"/>
      <c r="H173" s="509">
        <f t="shared" si="2"/>
        <v>3912.27</v>
      </c>
      <c r="I173" s="90"/>
      <c r="J173" s="90"/>
      <c r="K173" s="25" t="s">
        <v>520</v>
      </c>
      <c r="L173" s="25" t="s">
        <v>521</v>
      </c>
      <c r="M173" s="91">
        <v>3912.27</v>
      </c>
      <c r="N173" s="94">
        <v>2280.12</v>
      </c>
      <c r="O173" s="94">
        <v>1632.15</v>
      </c>
      <c r="P173" s="94">
        <v>0</v>
      </c>
    </row>
    <row r="174" spans="1:16">
      <c r="A174" s="25" t="s">
        <v>522</v>
      </c>
      <c r="B174" s="25" t="s">
        <v>216</v>
      </c>
      <c r="C174" s="25" t="s">
        <v>156</v>
      </c>
      <c r="D174" s="25" t="s">
        <v>162</v>
      </c>
      <c r="E174" s="25" t="s">
        <v>100</v>
      </c>
      <c r="F174" s="81">
        <v>2500</v>
      </c>
      <c r="G174" s="508"/>
      <c r="H174" s="509">
        <f t="shared" si="2"/>
        <v>2500</v>
      </c>
      <c r="I174" s="90"/>
      <c r="J174" s="90"/>
      <c r="K174" s="25" t="s">
        <v>522</v>
      </c>
      <c r="L174" s="25" t="s">
        <v>216</v>
      </c>
      <c r="M174" s="91">
        <v>2500</v>
      </c>
      <c r="N174" s="94">
        <v>0</v>
      </c>
      <c r="O174" s="94">
        <v>2500</v>
      </c>
      <c r="P174" s="94">
        <v>0</v>
      </c>
    </row>
    <row r="175" spans="1:16">
      <c r="A175" s="25" t="s">
        <v>523</v>
      </c>
      <c r="B175" s="25" t="s">
        <v>524</v>
      </c>
      <c r="C175" s="25" t="s">
        <v>156</v>
      </c>
      <c r="D175" s="25" t="s">
        <v>162</v>
      </c>
      <c r="E175" s="25" t="s">
        <v>100</v>
      </c>
      <c r="F175" s="81">
        <v>-13500</v>
      </c>
      <c r="G175" s="508"/>
      <c r="H175" s="509">
        <f t="shared" si="2"/>
        <v>-13500</v>
      </c>
      <c r="I175" s="90"/>
      <c r="J175" s="90"/>
      <c r="K175" s="25" t="s">
        <v>523</v>
      </c>
      <c r="L175" s="25" t="s">
        <v>524</v>
      </c>
      <c r="M175" s="91">
        <v>-13500</v>
      </c>
      <c r="N175" s="94">
        <v>-2700</v>
      </c>
      <c r="O175" s="94">
        <v>-10800</v>
      </c>
      <c r="P175" s="94">
        <v>0</v>
      </c>
    </row>
    <row r="176" spans="1:16">
      <c r="A176" s="25" t="s">
        <v>525</v>
      </c>
      <c r="B176" s="25" t="s">
        <v>526</v>
      </c>
      <c r="C176" s="25" t="s">
        <v>156</v>
      </c>
      <c r="D176" s="25" t="s">
        <v>162</v>
      </c>
      <c r="E176" s="25" t="s">
        <v>100</v>
      </c>
      <c r="F176" s="81">
        <v>-11173.66</v>
      </c>
      <c r="G176" s="508"/>
      <c r="H176" s="509">
        <f t="shared" si="2"/>
        <v>-11173.66</v>
      </c>
      <c r="I176" s="90"/>
      <c r="J176" s="90"/>
      <c r="K176" s="25" t="s">
        <v>525</v>
      </c>
      <c r="L176" s="25" t="s">
        <v>526</v>
      </c>
      <c r="M176" s="91">
        <v>-11174.16</v>
      </c>
      <c r="N176" s="94">
        <v>9585</v>
      </c>
      <c r="O176" s="94">
        <v>-20759.16</v>
      </c>
      <c r="P176" s="94">
        <v>0</v>
      </c>
    </row>
    <row r="177" spans="1:16">
      <c r="A177" s="53" t="s">
        <v>527</v>
      </c>
      <c r="B177" s="53" t="s">
        <v>341</v>
      </c>
      <c r="C177" s="53" t="s">
        <v>156</v>
      </c>
      <c r="D177" s="53" t="s">
        <v>169</v>
      </c>
      <c r="E177" s="53" t="s">
        <v>528</v>
      </c>
      <c r="F177" s="83">
        <v>2863272.71</v>
      </c>
      <c r="G177" s="84"/>
      <c r="H177" s="509"/>
      <c r="I177" s="90"/>
      <c r="J177" s="90"/>
      <c r="K177" s="53" t="s">
        <v>527</v>
      </c>
      <c r="L177" s="53" t="s">
        <v>341</v>
      </c>
      <c r="M177" s="92">
        <v>2863272.21</v>
      </c>
      <c r="N177" s="92"/>
      <c r="O177" s="92"/>
      <c r="P177" s="92"/>
    </row>
    <row r="178" spans="1:16">
      <c r="A178" s="53" t="s">
        <v>529</v>
      </c>
      <c r="B178" s="53" t="s">
        <v>530</v>
      </c>
      <c r="C178" s="53" t="s">
        <v>156</v>
      </c>
      <c r="D178" s="53" t="s">
        <v>157</v>
      </c>
      <c r="E178" s="53" t="s">
        <v>100</v>
      </c>
      <c r="F178" s="83">
        <v>0</v>
      </c>
      <c r="G178" s="84"/>
      <c r="H178" s="509"/>
      <c r="I178" s="90"/>
      <c r="J178" s="90"/>
      <c r="K178" s="53" t="s">
        <v>529</v>
      </c>
      <c r="L178" s="53" t="s">
        <v>530</v>
      </c>
      <c r="M178" s="92">
        <v>0</v>
      </c>
      <c r="N178" s="92"/>
      <c r="O178" s="92"/>
      <c r="P178" s="92"/>
    </row>
    <row r="179" spans="1:16">
      <c r="A179" s="25" t="s">
        <v>531</v>
      </c>
      <c r="B179" s="25" t="s">
        <v>532</v>
      </c>
      <c r="C179" s="25" t="s">
        <v>156</v>
      </c>
      <c r="D179" s="25" t="s">
        <v>162</v>
      </c>
      <c r="E179" s="25" t="s">
        <v>100</v>
      </c>
      <c r="F179" s="81">
        <v>116236.88</v>
      </c>
      <c r="G179" s="508"/>
      <c r="H179" s="509">
        <f t="shared" si="2"/>
        <v>116236.88</v>
      </c>
      <c r="I179" s="90"/>
      <c r="J179" s="90"/>
      <c r="K179" s="25" t="s">
        <v>531</v>
      </c>
      <c r="L179" s="25" t="s">
        <v>532</v>
      </c>
      <c r="M179" s="91">
        <v>116236.88</v>
      </c>
      <c r="N179" s="94">
        <v>38072.5</v>
      </c>
      <c r="O179" s="94">
        <v>77260.63</v>
      </c>
      <c r="P179" s="94">
        <v>903.75</v>
      </c>
    </row>
    <row r="180" spans="1:16">
      <c r="A180" s="25" t="s">
        <v>533</v>
      </c>
      <c r="B180" s="25" t="s">
        <v>2164</v>
      </c>
      <c r="C180" s="25" t="s">
        <v>156</v>
      </c>
      <c r="D180" s="25" t="s">
        <v>162</v>
      </c>
      <c r="E180" s="25" t="s">
        <v>100</v>
      </c>
      <c r="F180" s="81">
        <v>24014.93</v>
      </c>
      <c r="G180" s="508"/>
      <c r="H180" s="509">
        <f t="shared" si="2"/>
        <v>24014.93</v>
      </c>
      <c r="I180" s="90"/>
      <c r="J180" s="90"/>
      <c r="K180" s="25" t="s">
        <v>533</v>
      </c>
      <c r="L180" s="25" t="s">
        <v>2164</v>
      </c>
      <c r="M180" s="91">
        <v>24014.93</v>
      </c>
      <c r="N180" s="94">
        <v>3386.66</v>
      </c>
      <c r="O180" s="94">
        <v>20628.27</v>
      </c>
      <c r="P180" s="94">
        <v>0</v>
      </c>
    </row>
    <row r="181" spans="1:16">
      <c r="A181" s="25" t="s">
        <v>535</v>
      </c>
      <c r="B181" s="25" t="s">
        <v>536</v>
      </c>
      <c r="C181" s="25" t="s">
        <v>156</v>
      </c>
      <c r="D181" s="25" t="s">
        <v>162</v>
      </c>
      <c r="E181" s="25" t="s">
        <v>100</v>
      </c>
      <c r="F181" s="81">
        <v>30415.81</v>
      </c>
      <c r="G181" s="508"/>
      <c r="H181" s="509">
        <f t="shared" si="2"/>
        <v>30415.81</v>
      </c>
      <c r="I181" s="90"/>
      <c r="J181" s="90"/>
      <c r="K181" s="25" t="s">
        <v>535</v>
      </c>
      <c r="L181" s="25" t="s">
        <v>536</v>
      </c>
      <c r="M181" s="91">
        <v>30415.81</v>
      </c>
      <c r="N181" s="94">
        <v>0</v>
      </c>
      <c r="O181" s="94">
        <v>30415.81</v>
      </c>
      <c r="P181" s="94">
        <v>0</v>
      </c>
    </row>
    <row r="182" spans="1:16">
      <c r="A182" s="25" t="s">
        <v>537</v>
      </c>
      <c r="B182" s="25" t="s">
        <v>538</v>
      </c>
      <c r="C182" s="25" t="s">
        <v>156</v>
      </c>
      <c r="D182" s="25" t="s">
        <v>162</v>
      </c>
      <c r="E182" s="25" t="s">
        <v>100</v>
      </c>
      <c r="F182" s="81">
        <v>61264.92</v>
      </c>
      <c r="G182" s="508"/>
      <c r="H182" s="509">
        <f t="shared" si="2"/>
        <v>61264.92</v>
      </c>
      <c r="I182" s="90"/>
      <c r="J182" s="90"/>
      <c r="K182" s="25" t="s">
        <v>537</v>
      </c>
      <c r="L182" s="25" t="s">
        <v>538</v>
      </c>
      <c r="M182" s="91">
        <v>61264.92</v>
      </c>
      <c r="N182" s="94">
        <v>2076.14</v>
      </c>
      <c r="O182" s="94">
        <v>55573.78</v>
      </c>
      <c r="P182" s="94">
        <v>3615</v>
      </c>
    </row>
    <row r="183" spans="1:16">
      <c r="A183" s="25" t="s">
        <v>539</v>
      </c>
      <c r="B183" s="25" t="s">
        <v>540</v>
      </c>
      <c r="C183" s="25" t="s">
        <v>156</v>
      </c>
      <c r="D183" s="25" t="s">
        <v>162</v>
      </c>
      <c r="E183" s="25" t="s">
        <v>100</v>
      </c>
      <c r="F183" s="81">
        <v>256922.21</v>
      </c>
      <c r="G183" s="508"/>
      <c r="H183" s="509">
        <f t="shared" si="2"/>
        <v>256922.21</v>
      </c>
      <c r="I183" s="90"/>
      <c r="J183" s="90"/>
      <c r="K183" s="25" t="s">
        <v>539</v>
      </c>
      <c r="L183" s="25" t="s">
        <v>540</v>
      </c>
      <c r="M183" s="91">
        <v>256922.21</v>
      </c>
      <c r="N183" s="94">
        <v>84545.83</v>
      </c>
      <c r="O183" s="94">
        <v>163305.81</v>
      </c>
      <c r="P183" s="94">
        <v>9070.57</v>
      </c>
    </row>
    <row r="184" spans="1:16">
      <c r="A184" s="25" t="s">
        <v>541</v>
      </c>
      <c r="B184" s="25" t="s">
        <v>542</v>
      </c>
      <c r="C184" s="25" t="s">
        <v>156</v>
      </c>
      <c r="D184" s="25" t="s">
        <v>162</v>
      </c>
      <c r="E184" s="25" t="s">
        <v>100</v>
      </c>
      <c r="F184" s="81">
        <v>10327.450000000001</v>
      </c>
      <c r="G184" s="508"/>
      <c r="H184" s="509">
        <f t="shared" si="2"/>
        <v>10327.450000000001</v>
      </c>
      <c r="I184" s="90"/>
      <c r="J184" s="90"/>
      <c r="K184" s="25" t="s">
        <v>541</v>
      </c>
      <c r="L184" s="25" t="s">
        <v>542</v>
      </c>
      <c r="M184" s="91">
        <v>10327.450000000001</v>
      </c>
      <c r="N184" s="94">
        <v>3910.25</v>
      </c>
      <c r="O184" s="94">
        <v>6417.2</v>
      </c>
      <c r="P184" s="94">
        <v>0</v>
      </c>
    </row>
    <row r="185" spans="1:16">
      <c r="A185" s="25" t="s">
        <v>543</v>
      </c>
      <c r="B185" s="25" t="s">
        <v>220</v>
      </c>
      <c r="C185" s="25" t="s">
        <v>156</v>
      </c>
      <c r="D185" s="25" t="s">
        <v>162</v>
      </c>
      <c r="E185" s="25" t="s">
        <v>100</v>
      </c>
      <c r="F185" s="81">
        <v>9025.2099999999991</v>
      </c>
      <c r="G185" s="508"/>
      <c r="H185" s="509">
        <f t="shared" si="2"/>
        <v>9025.2099999999991</v>
      </c>
      <c r="I185" s="90"/>
      <c r="J185" s="90"/>
      <c r="K185" s="25" t="s">
        <v>543</v>
      </c>
      <c r="L185" s="25" t="s">
        <v>220</v>
      </c>
      <c r="M185" s="91">
        <v>9025.2099999999991</v>
      </c>
      <c r="N185" s="91">
        <v>2196.6</v>
      </c>
      <c r="O185" s="91">
        <v>4916.08</v>
      </c>
      <c r="P185" s="91">
        <v>1912.53</v>
      </c>
    </row>
    <row r="186" spans="1:16">
      <c r="A186" s="53" t="s">
        <v>547</v>
      </c>
      <c r="B186" s="53" t="s">
        <v>548</v>
      </c>
      <c r="C186" s="53" t="s">
        <v>156</v>
      </c>
      <c r="D186" s="53" t="s">
        <v>169</v>
      </c>
      <c r="E186" s="53" t="s">
        <v>549</v>
      </c>
      <c r="F186" s="83">
        <v>508207.41</v>
      </c>
      <c r="G186" s="84"/>
      <c r="H186" s="509"/>
      <c r="I186" s="90"/>
      <c r="J186" s="90"/>
      <c r="K186" s="53" t="s">
        <v>547</v>
      </c>
      <c r="L186" s="53" t="s">
        <v>548</v>
      </c>
      <c r="M186" s="92">
        <v>508207.41</v>
      </c>
      <c r="N186" s="92"/>
      <c r="O186" s="92"/>
      <c r="P186" s="92"/>
    </row>
    <row r="187" spans="1:16">
      <c r="A187" s="53" t="s">
        <v>550</v>
      </c>
      <c r="B187" s="53" t="s">
        <v>551</v>
      </c>
      <c r="C187" s="53" t="s">
        <v>156</v>
      </c>
      <c r="D187" s="53" t="s">
        <v>157</v>
      </c>
      <c r="E187" s="53" t="s">
        <v>100</v>
      </c>
      <c r="F187" s="83">
        <v>0</v>
      </c>
      <c r="G187" s="84"/>
      <c r="H187" s="509"/>
      <c r="I187" s="90"/>
      <c r="J187" s="90"/>
      <c r="K187" s="53" t="s">
        <v>550</v>
      </c>
      <c r="L187" s="53" t="s">
        <v>551</v>
      </c>
      <c r="M187" s="92">
        <v>0</v>
      </c>
      <c r="N187" s="92"/>
      <c r="O187" s="92"/>
      <c r="P187" s="92"/>
    </row>
    <row r="188" spans="1:16">
      <c r="A188" s="25" t="s">
        <v>552</v>
      </c>
      <c r="B188" s="25" t="s">
        <v>553</v>
      </c>
      <c r="C188" s="25" t="s">
        <v>156</v>
      </c>
      <c r="D188" s="25" t="s">
        <v>162</v>
      </c>
      <c r="E188" s="25" t="s">
        <v>100</v>
      </c>
      <c r="F188" s="81">
        <v>12664</v>
      </c>
      <c r="G188" s="508"/>
      <c r="H188" s="509">
        <f t="shared" si="2"/>
        <v>12664</v>
      </c>
      <c r="I188" s="90"/>
      <c r="J188" s="90"/>
      <c r="K188" s="25" t="s">
        <v>552</v>
      </c>
      <c r="L188" s="25" t="s">
        <v>553</v>
      </c>
      <c r="M188" s="91">
        <v>12664</v>
      </c>
      <c r="N188" s="94">
        <v>12500</v>
      </c>
      <c r="O188" s="94">
        <v>164</v>
      </c>
      <c r="P188" s="94">
        <v>0</v>
      </c>
    </row>
    <row r="189" spans="1:16">
      <c r="A189" s="25" t="s">
        <v>554</v>
      </c>
      <c r="B189" s="25" t="s">
        <v>555</v>
      </c>
      <c r="C189" s="25" t="s">
        <v>156</v>
      </c>
      <c r="D189" s="25" t="s">
        <v>162</v>
      </c>
      <c r="E189" s="25" t="s">
        <v>100</v>
      </c>
      <c r="F189" s="81">
        <v>74865.25</v>
      </c>
      <c r="G189" s="508"/>
      <c r="H189" s="509">
        <f t="shared" si="2"/>
        <v>74865.25</v>
      </c>
      <c r="I189" s="90"/>
      <c r="J189" s="90"/>
      <c r="K189" s="25" t="s">
        <v>554</v>
      </c>
      <c r="L189" s="25" t="s">
        <v>555</v>
      </c>
      <c r="M189" s="91">
        <v>74865.25</v>
      </c>
      <c r="N189" s="94">
        <v>43201.51</v>
      </c>
      <c r="O189" s="94">
        <v>31663.74</v>
      </c>
      <c r="P189" s="94">
        <v>0</v>
      </c>
    </row>
    <row r="190" spans="1:16">
      <c r="A190" s="25" t="s">
        <v>556</v>
      </c>
      <c r="B190" s="25" t="s">
        <v>557</v>
      </c>
      <c r="C190" s="25" t="s">
        <v>156</v>
      </c>
      <c r="D190" s="25" t="s">
        <v>162</v>
      </c>
      <c r="E190" s="25" t="s">
        <v>100</v>
      </c>
      <c r="F190" s="81">
        <v>1666049.29</v>
      </c>
      <c r="G190" s="508"/>
      <c r="H190" s="509">
        <f t="shared" si="2"/>
        <v>1666049.29</v>
      </c>
      <c r="I190" s="90"/>
      <c r="J190" s="90"/>
      <c r="K190" s="25" t="s">
        <v>556</v>
      </c>
      <c r="L190" s="25" t="s">
        <v>557</v>
      </c>
      <c r="M190" s="91">
        <v>1666049.29</v>
      </c>
      <c r="N190" s="94">
        <v>257985.03</v>
      </c>
      <c r="O190" s="94">
        <v>1408064.26</v>
      </c>
      <c r="P190" s="94">
        <v>0</v>
      </c>
    </row>
    <row r="191" spans="1:16">
      <c r="A191" s="25" t="s">
        <v>558</v>
      </c>
      <c r="B191" s="25" t="s">
        <v>559</v>
      </c>
      <c r="C191" s="25" t="s">
        <v>156</v>
      </c>
      <c r="D191" s="25" t="s">
        <v>162</v>
      </c>
      <c r="E191" s="25" t="s">
        <v>100</v>
      </c>
      <c r="F191" s="81">
        <v>134860.44</v>
      </c>
      <c r="G191" s="508"/>
      <c r="H191" s="509">
        <f t="shared" si="2"/>
        <v>134860.44</v>
      </c>
      <c r="I191" s="90"/>
      <c r="J191" s="90"/>
      <c r="K191" s="25" t="s">
        <v>558</v>
      </c>
      <c r="L191" s="25" t="s">
        <v>559</v>
      </c>
      <c r="M191" s="91">
        <v>134860.44</v>
      </c>
      <c r="N191" s="94">
        <v>70068.240000000005</v>
      </c>
      <c r="O191" s="94">
        <v>64792.2</v>
      </c>
      <c r="P191" s="94">
        <v>0</v>
      </c>
    </row>
    <row r="192" spans="1:16">
      <c r="A192" s="25" t="s">
        <v>560</v>
      </c>
      <c r="B192" s="25" t="s">
        <v>561</v>
      </c>
      <c r="C192" s="25" t="s">
        <v>156</v>
      </c>
      <c r="D192" s="25" t="s">
        <v>162</v>
      </c>
      <c r="E192" s="25" t="s">
        <v>100</v>
      </c>
      <c r="F192" s="81">
        <v>231111.76</v>
      </c>
      <c r="G192" s="508"/>
      <c r="H192" s="509">
        <f t="shared" si="2"/>
        <v>231111.76</v>
      </c>
      <c r="I192" s="90"/>
      <c r="J192" s="90"/>
      <c r="K192" s="25" t="s">
        <v>560</v>
      </c>
      <c r="L192" s="25" t="s">
        <v>561</v>
      </c>
      <c r="M192" s="91">
        <v>231111.76</v>
      </c>
      <c r="N192" s="94">
        <v>159262.31</v>
      </c>
      <c r="O192" s="94">
        <v>71849.45</v>
      </c>
      <c r="P192" s="94">
        <v>0</v>
      </c>
    </row>
    <row r="193" spans="1:17">
      <c r="A193" s="25" t="s">
        <v>562</v>
      </c>
      <c r="B193" s="25" t="s">
        <v>563</v>
      </c>
      <c r="C193" s="25" t="s">
        <v>156</v>
      </c>
      <c r="D193" s="25" t="s">
        <v>162</v>
      </c>
      <c r="E193" s="25" t="s">
        <v>100</v>
      </c>
      <c r="F193" s="81">
        <v>125742.2</v>
      </c>
      <c r="G193" s="508"/>
      <c r="H193" s="509">
        <f t="shared" si="2"/>
        <v>125742.2</v>
      </c>
      <c r="I193" s="90"/>
      <c r="J193" s="90"/>
      <c r="K193" s="25" t="s">
        <v>562</v>
      </c>
      <c r="L193" s="25" t="s">
        <v>563</v>
      </c>
      <c r="M193" s="91">
        <v>125742.2</v>
      </c>
      <c r="N193" s="95">
        <v>495</v>
      </c>
      <c r="O193" s="91">
        <v>125247.2</v>
      </c>
      <c r="P193" s="91">
        <v>0</v>
      </c>
      <c r="Q193" s="96" t="s">
        <v>2219</v>
      </c>
    </row>
    <row r="194" spans="1:17">
      <c r="A194" s="25" t="s">
        <v>564</v>
      </c>
      <c r="B194" s="25" t="s">
        <v>565</v>
      </c>
      <c r="C194" s="25" t="s">
        <v>156</v>
      </c>
      <c r="D194" s="25" t="s">
        <v>162</v>
      </c>
      <c r="E194" s="25" t="s">
        <v>100</v>
      </c>
      <c r="F194" s="81">
        <v>0</v>
      </c>
      <c r="G194" s="508"/>
      <c r="H194" s="509">
        <f t="shared" si="2"/>
        <v>0</v>
      </c>
      <c r="I194" s="90"/>
      <c r="J194" s="90"/>
      <c r="K194" s="25" t="s">
        <v>564</v>
      </c>
      <c r="L194" s="25" t="s">
        <v>565</v>
      </c>
      <c r="M194" s="91">
        <v>0</v>
      </c>
      <c r="N194" s="91">
        <v>0</v>
      </c>
      <c r="O194" s="91">
        <v>0</v>
      </c>
      <c r="P194" s="91">
        <v>0</v>
      </c>
      <c r="Q194" s="90"/>
    </row>
    <row r="195" spans="1:17">
      <c r="A195" s="53" t="s">
        <v>566</v>
      </c>
      <c r="B195" s="53" t="s">
        <v>567</v>
      </c>
      <c r="C195" s="53" t="s">
        <v>156</v>
      </c>
      <c r="D195" s="53" t="s">
        <v>169</v>
      </c>
      <c r="E195" s="53" t="s">
        <v>568</v>
      </c>
      <c r="F195" s="83">
        <v>2245292.94</v>
      </c>
      <c r="G195" s="84"/>
      <c r="H195" s="509"/>
      <c r="I195" s="90"/>
      <c r="J195" s="90"/>
      <c r="K195" s="53" t="s">
        <v>566</v>
      </c>
      <c r="L195" s="53" t="s">
        <v>567</v>
      </c>
      <c r="M195" s="92">
        <v>2245292.94</v>
      </c>
      <c r="N195" s="92"/>
      <c r="O195" s="92"/>
      <c r="P195" s="92"/>
      <c r="Q195" s="90"/>
    </row>
    <row r="196" spans="1:17">
      <c r="A196" s="53" t="s">
        <v>569</v>
      </c>
      <c r="B196" s="53" t="s">
        <v>570</v>
      </c>
      <c r="C196" s="53" t="s">
        <v>156</v>
      </c>
      <c r="D196" s="53" t="s">
        <v>157</v>
      </c>
      <c r="E196" s="53" t="s">
        <v>100</v>
      </c>
      <c r="F196" s="83">
        <v>0</v>
      </c>
      <c r="G196" s="84"/>
      <c r="H196" s="509"/>
      <c r="I196" s="90"/>
      <c r="J196" s="90"/>
      <c r="K196" s="53" t="s">
        <v>569</v>
      </c>
      <c r="L196" s="53" t="s">
        <v>570</v>
      </c>
      <c r="M196" s="92">
        <v>0</v>
      </c>
      <c r="N196" s="92"/>
      <c r="O196" s="92"/>
      <c r="P196" s="92"/>
      <c r="Q196" s="90"/>
    </row>
    <row r="197" spans="1:17">
      <c r="A197" s="25" t="s">
        <v>571</v>
      </c>
      <c r="B197" s="25" t="s">
        <v>572</v>
      </c>
      <c r="C197" s="25" t="s">
        <v>156</v>
      </c>
      <c r="D197" s="25" t="s">
        <v>162</v>
      </c>
      <c r="E197" s="25" t="s">
        <v>100</v>
      </c>
      <c r="F197" s="81">
        <v>1223.54</v>
      </c>
      <c r="G197" s="508"/>
      <c r="H197" s="509">
        <f t="shared" si="2"/>
        <v>1223.54</v>
      </c>
      <c r="I197" s="90"/>
      <c r="J197" s="90"/>
      <c r="K197" s="25" t="s">
        <v>571</v>
      </c>
      <c r="L197" s="25" t="s">
        <v>572</v>
      </c>
      <c r="M197" s="91">
        <v>1223.54</v>
      </c>
      <c r="N197" s="91">
        <v>1223.54</v>
      </c>
      <c r="O197" s="94">
        <v>0</v>
      </c>
      <c r="P197" s="94">
        <v>0</v>
      </c>
      <c r="Q197" s="90"/>
    </row>
    <row r="198" spans="1:17">
      <c r="A198" s="25" t="s">
        <v>573</v>
      </c>
      <c r="B198" s="25" t="s">
        <v>574</v>
      </c>
      <c r="C198" s="25" t="s">
        <v>156</v>
      </c>
      <c r="D198" s="25" t="s">
        <v>162</v>
      </c>
      <c r="E198" s="25" t="s">
        <v>100</v>
      </c>
      <c r="F198" s="81">
        <v>17700</v>
      </c>
      <c r="G198" s="508"/>
      <c r="H198" s="509">
        <f t="shared" ref="H198:H261" si="3">F198</f>
        <v>17700</v>
      </c>
      <c r="I198" s="90"/>
      <c r="J198" s="90"/>
      <c r="K198" s="25" t="s">
        <v>573</v>
      </c>
      <c r="L198" s="25" t="s">
        <v>574</v>
      </c>
      <c r="M198" s="91">
        <v>17700</v>
      </c>
      <c r="N198" s="94">
        <v>12000</v>
      </c>
      <c r="O198" s="94">
        <v>5700</v>
      </c>
      <c r="P198" s="94">
        <v>0</v>
      </c>
      <c r="Q198" s="90"/>
    </row>
    <row r="199" spans="1:17">
      <c r="A199" s="53" t="s">
        <v>575</v>
      </c>
      <c r="B199" s="53" t="s">
        <v>576</v>
      </c>
      <c r="C199" s="53" t="s">
        <v>156</v>
      </c>
      <c r="D199" s="53" t="s">
        <v>169</v>
      </c>
      <c r="E199" s="53" t="s">
        <v>577</v>
      </c>
      <c r="F199" s="83">
        <v>18923.54</v>
      </c>
      <c r="G199" s="84"/>
      <c r="H199" s="509"/>
      <c r="I199" s="90"/>
      <c r="J199" s="90"/>
      <c r="K199" s="53" t="s">
        <v>575</v>
      </c>
      <c r="L199" s="53" t="s">
        <v>576</v>
      </c>
      <c r="M199" s="92">
        <v>18923.54</v>
      </c>
      <c r="N199" s="92"/>
      <c r="O199" s="92"/>
      <c r="P199" s="92"/>
      <c r="Q199" s="90"/>
    </row>
    <row r="200" spans="1:17">
      <c r="A200" s="53" t="s">
        <v>578</v>
      </c>
      <c r="B200" s="53" t="s">
        <v>579</v>
      </c>
      <c r="C200" s="53" t="s">
        <v>156</v>
      </c>
      <c r="D200" s="53" t="s">
        <v>157</v>
      </c>
      <c r="E200" s="53" t="s">
        <v>100</v>
      </c>
      <c r="F200" s="83">
        <v>0</v>
      </c>
      <c r="G200" s="84"/>
      <c r="H200" s="509"/>
      <c r="I200" s="90"/>
      <c r="J200" s="90"/>
      <c r="K200" s="53" t="s">
        <v>578</v>
      </c>
      <c r="L200" s="53" t="s">
        <v>579</v>
      </c>
      <c r="M200" s="92">
        <v>0</v>
      </c>
      <c r="N200" s="92"/>
      <c r="O200" s="92"/>
      <c r="P200" s="92"/>
      <c r="Q200" s="90"/>
    </row>
    <row r="201" spans="1:17">
      <c r="A201" s="25" t="s">
        <v>580</v>
      </c>
      <c r="B201" s="25" t="s">
        <v>581</v>
      </c>
      <c r="C201" s="25" t="s">
        <v>156</v>
      </c>
      <c r="D201" s="25" t="s">
        <v>162</v>
      </c>
      <c r="E201" s="25" t="s">
        <v>100</v>
      </c>
      <c r="F201" s="81">
        <v>-9306.77</v>
      </c>
      <c r="G201" s="508"/>
      <c r="H201" s="509">
        <f t="shared" si="3"/>
        <v>-9306.77</v>
      </c>
      <c r="I201" s="90"/>
      <c r="J201" s="90"/>
      <c r="K201" s="25" t="s">
        <v>580</v>
      </c>
      <c r="L201" s="25" t="s">
        <v>581</v>
      </c>
      <c r="M201" s="91">
        <v>-9306.77</v>
      </c>
      <c r="N201" s="94">
        <v>-9306.77</v>
      </c>
      <c r="O201" s="91">
        <v>0</v>
      </c>
      <c r="P201" s="91">
        <v>0</v>
      </c>
      <c r="Q201" s="90"/>
    </row>
    <row r="202" spans="1:17">
      <c r="A202" s="25" t="s">
        <v>582</v>
      </c>
      <c r="B202" s="25" t="s">
        <v>583</v>
      </c>
      <c r="C202" s="25" t="s">
        <v>156</v>
      </c>
      <c r="D202" s="25" t="s">
        <v>162</v>
      </c>
      <c r="E202" s="25" t="s">
        <v>100</v>
      </c>
      <c r="F202" s="81">
        <v>223972.2</v>
      </c>
      <c r="G202" s="508"/>
      <c r="H202" s="509">
        <f t="shared" si="3"/>
        <v>223972.2</v>
      </c>
      <c r="I202" s="90"/>
      <c r="J202" s="90"/>
      <c r="K202" s="25" t="s">
        <v>582</v>
      </c>
      <c r="L202" s="25" t="s">
        <v>583</v>
      </c>
      <c r="M202" s="91">
        <v>223972.2</v>
      </c>
      <c r="N202" s="94">
        <v>223972.2</v>
      </c>
      <c r="O202" s="91">
        <v>0</v>
      </c>
      <c r="P202" s="91">
        <v>0</v>
      </c>
      <c r="Q202" s="90"/>
    </row>
    <row r="203" spans="1:17">
      <c r="A203" s="25" t="s">
        <v>584</v>
      </c>
      <c r="B203" s="25" t="s">
        <v>2199</v>
      </c>
      <c r="C203" s="25" t="s">
        <v>156</v>
      </c>
      <c r="D203" s="25" t="s">
        <v>162</v>
      </c>
      <c r="E203" s="25" t="s">
        <v>100</v>
      </c>
      <c r="F203" s="81">
        <v>-21839.88</v>
      </c>
      <c r="G203" s="508"/>
      <c r="H203" s="509">
        <f t="shared" si="3"/>
        <v>-21839.88</v>
      </c>
      <c r="I203" s="90"/>
      <c r="J203" s="90"/>
      <c r="K203" s="25" t="s">
        <v>584</v>
      </c>
      <c r="L203" s="25" t="s">
        <v>2199</v>
      </c>
      <c r="M203" s="91">
        <v>-21839.88</v>
      </c>
      <c r="N203" s="94">
        <v>-21839.88</v>
      </c>
      <c r="O203" s="91">
        <v>0</v>
      </c>
      <c r="P203" s="91">
        <v>0</v>
      </c>
      <c r="Q203" s="90"/>
    </row>
    <row r="204" spans="1:17">
      <c r="A204" s="25" t="s">
        <v>586</v>
      </c>
      <c r="B204" s="25" t="s">
        <v>587</v>
      </c>
      <c r="C204" s="25" t="s">
        <v>156</v>
      </c>
      <c r="D204" s="25" t="s">
        <v>162</v>
      </c>
      <c r="E204" s="25" t="s">
        <v>100</v>
      </c>
      <c r="F204" s="81">
        <v>250042.19</v>
      </c>
      <c r="G204" s="508"/>
      <c r="H204" s="509">
        <f t="shared" si="3"/>
        <v>250042.19</v>
      </c>
      <c r="I204" s="90"/>
      <c r="J204" s="90"/>
      <c r="K204" s="25" t="s">
        <v>586</v>
      </c>
      <c r="L204" s="25" t="s">
        <v>587</v>
      </c>
      <c r="M204" s="91">
        <v>250042.19</v>
      </c>
      <c r="N204" s="91">
        <v>0</v>
      </c>
      <c r="O204" s="94">
        <v>250042.19</v>
      </c>
      <c r="P204" s="91">
        <v>0</v>
      </c>
      <c r="Q204" s="90"/>
    </row>
    <row r="205" spans="1:17">
      <c r="A205" s="25" t="s">
        <v>588</v>
      </c>
      <c r="B205" s="25" t="s">
        <v>589</v>
      </c>
      <c r="C205" s="25" t="s">
        <v>156</v>
      </c>
      <c r="D205" s="25" t="s">
        <v>162</v>
      </c>
      <c r="E205" s="25" t="s">
        <v>100</v>
      </c>
      <c r="F205" s="81">
        <v>63913.05</v>
      </c>
      <c r="G205" s="508"/>
      <c r="H205" s="509">
        <f t="shared" si="3"/>
        <v>63913.05</v>
      </c>
      <c r="I205" s="90"/>
      <c r="J205" s="90"/>
      <c r="K205" s="25" t="s">
        <v>588</v>
      </c>
      <c r="L205" s="25" t="s">
        <v>589</v>
      </c>
      <c r="M205" s="91">
        <v>63913.05</v>
      </c>
      <c r="N205" s="91">
        <v>0</v>
      </c>
      <c r="O205" s="94">
        <v>63913.05</v>
      </c>
      <c r="P205" s="91">
        <v>0</v>
      </c>
      <c r="Q205" s="90"/>
    </row>
    <row r="206" spans="1:17">
      <c r="A206" s="25" t="s">
        <v>590</v>
      </c>
      <c r="B206" s="25" t="s">
        <v>591</v>
      </c>
      <c r="C206" s="25" t="s">
        <v>156</v>
      </c>
      <c r="D206" s="25" t="s">
        <v>162</v>
      </c>
      <c r="E206" s="25" t="s">
        <v>100</v>
      </c>
      <c r="F206" s="81">
        <v>-13138.24</v>
      </c>
      <c r="G206" s="508"/>
      <c r="H206" s="509">
        <f t="shared" si="3"/>
        <v>-13138.24</v>
      </c>
      <c r="I206" s="90"/>
      <c r="J206" s="90"/>
      <c r="K206" s="25" t="s">
        <v>590</v>
      </c>
      <c r="L206" s="25" t="s">
        <v>591</v>
      </c>
      <c r="M206" s="91">
        <v>-13138.24</v>
      </c>
      <c r="N206" s="94">
        <v>-13138.24</v>
      </c>
      <c r="O206" s="91">
        <v>0</v>
      </c>
      <c r="P206" s="91">
        <v>0</v>
      </c>
      <c r="Q206" s="90"/>
    </row>
    <row r="207" spans="1:17">
      <c r="A207" s="25" t="s">
        <v>592</v>
      </c>
      <c r="B207" s="25" t="s">
        <v>593</v>
      </c>
      <c r="C207" s="25" t="s">
        <v>156</v>
      </c>
      <c r="D207" s="25" t="s">
        <v>162</v>
      </c>
      <c r="E207" s="25" t="s">
        <v>100</v>
      </c>
      <c r="F207" s="81">
        <v>49658.09</v>
      </c>
      <c r="G207" s="508"/>
      <c r="H207" s="509">
        <f t="shared" si="3"/>
        <v>49658.09</v>
      </c>
      <c r="I207" s="90"/>
      <c r="J207" s="90"/>
      <c r="K207" s="25" t="s">
        <v>592</v>
      </c>
      <c r="L207" s="25" t="s">
        <v>593</v>
      </c>
      <c r="M207" s="91">
        <v>49658.09</v>
      </c>
      <c r="N207" s="94">
        <v>49658.09</v>
      </c>
      <c r="O207" s="91">
        <v>0</v>
      </c>
      <c r="P207" s="91">
        <v>0</v>
      </c>
      <c r="Q207" s="90"/>
    </row>
    <row r="208" spans="1:17">
      <c r="A208" s="53" t="s">
        <v>594</v>
      </c>
      <c r="B208" s="53" t="s">
        <v>595</v>
      </c>
      <c r="C208" s="53" t="s">
        <v>156</v>
      </c>
      <c r="D208" s="53" t="s">
        <v>169</v>
      </c>
      <c r="E208" s="53" t="s">
        <v>596</v>
      </c>
      <c r="F208" s="83">
        <v>543300.64</v>
      </c>
      <c r="G208" s="84"/>
      <c r="H208" s="509"/>
      <c r="I208" s="90"/>
      <c r="J208" s="90"/>
      <c r="K208" s="53" t="s">
        <v>594</v>
      </c>
      <c r="L208" s="53" t="s">
        <v>595</v>
      </c>
      <c r="M208" s="92">
        <v>543300.64</v>
      </c>
      <c r="N208" s="92"/>
      <c r="O208" s="92"/>
      <c r="P208" s="92"/>
      <c r="Q208" s="90"/>
    </row>
    <row r="209" spans="1:16">
      <c r="A209" s="53" t="s">
        <v>597</v>
      </c>
      <c r="B209" s="53" t="s">
        <v>595</v>
      </c>
      <c r="C209" s="53" t="s">
        <v>156</v>
      </c>
      <c r="D209" s="53" t="s">
        <v>598</v>
      </c>
      <c r="E209" s="53" t="s">
        <v>100</v>
      </c>
      <c r="F209" s="83">
        <v>0</v>
      </c>
      <c r="G209" s="84"/>
      <c r="H209" s="509"/>
      <c r="I209" s="90"/>
      <c r="J209" s="90"/>
      <c r="K209" s="53" t="s">
        <v>597</v>
      </c>
      <c r="L209" s="53" t="s">
        <v>595</v>
      </c>
      <c r="M209" s="92">
        <v>0</v>
      </c>
      <c r="N209" s="92"/>
      <c r="O209" s="92"/>
      <c r="P209" s="92"/>
    </row>
    <row r="210" spans="1:16">
      <c r="A210" s="53" t="s">
        <v>599</v>
      </c>
      <c r="B210" s="53" t="s">
        <v>600</v>
      </c>
      <c r="C210" s="53" t="s">
        <v>156</v>
      </c>
      <c r="D210" s="53" t="s">
        <v>157</v>
      </c>
      <c r="E210" s="53" t="s">
        <v>100</v>
      </c>
      <c r="F210" s="83">
        <v>0</v>
      </c>
      <c r="G210" s="84"/>
      <c r="H210" s="509"/>
      <c r="I210" s="90"/>
      <c r="J210" s="90"/>
      <c r="K210" s="53" t="s">
        <v>599</v>
      </c>
      <c r="L210" s="53" t="s">
        <v>600</v>
      </c>
      <c r="M210" s="92">
        <v>0</v>
      </c>
      <c r="N210" s="92"/>
      <c r="O210" s="92"/>
      <c r="P210" s="92"/>
    </row>
    <row r="211" spans="1:16">
      <c r="A211" s="25" t="s">
        <v>601</v>
      </c>
      <c r="B211" s="25" t="s">
        <v>602</v>
      </c>
      <c r="C211" s="25" t="s">
        <v>156</v>
      </c>
      <c r="D211" s="25" t="s">
        <v>162</v>
      </c>
      <c r="E211" s="25" t="s">
        <v>100</v>
      </c>
      <c r="F211" s="81">
        <v>-4010.12</v>
      </c>
      <c r="G211" s="508"/>
      <c r="H211" s="509">
        <f t="shared" si="3"/>
        <v>-4010.12</v>
      </c>
      <c r="I211" s="90"/>
      <c r="J211" s="90"/>
      <c r="K211" s="25" t="s">
        <v>601</v>
      </c>
      <c r="L211" s="25" t="s">
        <v>602</v>
      </c>
      <c r="M211" s="91">
        <v>-4010.12</v>
      </c>
      <c r="N211" s="91">
        <v>0</v>
      </c>
      <c r="O211" s="91">
        <v>-4010.12</v>
      </c>
      <c r="P211" s="91">
        <v>0</v>
      </c>
    </row>
    <row r="212" spans="1:16">
      <c r="A212" s="25" t="s">
        <v>603</v>
      </c>
      <c r="B212" s="25" t="s">
        <v>604</v>
      </c>
      <c r="C212" s="25" t="s">
        <v>156</v>
      </c>
      <c r="D212" s="25" t="s">
        <v>162</v>
      </c>
      <c r="E212" s="25" t="s">
        <v>100</v>
      </c>
      <c r="F212" s="81">
        <v>14670</v>
      </c>
      <c r="G212" s="508"/>
      <c r="H212" s="509">
        <f t="shared" si="3"/>
        <v>14670</v>
      </c>
      <c r="I212" s="90"/>
      <c r="J212" s="90"/>
      <c r="K212" s="25" t="s">
        <v>603</v>
      </c>
      <c r="L212" s="25" t="s">
        <v>604</v>
      </c>
      <c r="M212" s="91">
        <v>14670</v>
      </c>
      <c r="N212" s="91">
        <v>0</v>
      </c>
      <c r="O212" s="91">
        <v>14670</v>
      </c>
      <c r="P212" s="91">
        <v>0</v>
      </c>
    </row>
    <row r="213" spans="1:16">
      <c r="A213" s="25" t="s">
        <v>605</v>
      </c>
      <c r="B213" s="25" t="s">
        <v>606</v>
      </c>
      <c r="C213" s="25" t="s">
        <v>156</v>
      </c>
      <c r="D213" s="25" t="s">
        <v>162</v>
      </c>
      <c r="E213" s="25" t="s">
        <v>100</v>
      </c>
      <c r="F213" s="81">
        <v>20000</v>
      </c>
      <c r="G213" s="508"/>
      <c r="H213" s="509">
        <f t="shared" si="3"/>
        <v>20000</v>
      </c>
      <c r="I213" s="90"/>
      <c r="J213" s="90"/>
      <c r="K213" s="25" t="s">
        <v>605</v>
      </c>
      <c r="L213" s="25" t="s">
        <v>606</v>
      </c>
      <c r="M213" s="91">
        <v>20000</v>
      </c>
      <c r="N213" s="91">
        <v>0</v>
      </c>
      <c r="O213" s="91">
        <v>20000</v>
      </c>
      <c r="P213" s="91">
        <v>0</v>
      </c>
    </row>
    <row r="214" spans="1:16">
      <c r="A214" s="25" t="s">
        <v>607</v>
      </c>
      <c r="B214" s="25" t="s">
        <v>608</v>
      </c>
      <c r="C214" s="25" t="s">
        <v>156</v>
      </c>
      <c r="D214" s="25" t="s">
        <v>162</v>
      </c>
      <c r="E214" s="25" t="s">
        <v>100</v>
      </c>
      <c r="F214" s="81">
        <v>31125.91</v>
      </c>
      <c r="G214" s="508"/>
      <c r="H214" s="509">
        <f t="shared" si="3"/>
        <v>31125.91</v>
      </c>
      <c r="I214" s="90"/>
      <c r="J214" s="90"/>
      <c r="K214" s="25" t="s">
        <v>607</v>
      </c>
      <c r="L214" s="25" t="s">
        <v>608</v>
      </c>
      <c r="M214" s="91">
        <v>31125.91</v>
      </c>
      <c r="N214" s="91">
        <v>0</v>
      </c>
      <c r="O214" s="91">
        <v>31125.91</v>
      </c>
      <c r="P214" s="91">
        <v>0</v>
      </c>
    </row>
    <row r="215" spans="1:16">
      <c r="A215" s="25" t="s">
        <v>609</v>
      </c>
      <c r="B215" s="25" t="s">
        <v>610</v>
      </c>
      <c r="C215" s="25" t="s">
        <v>156</v>
      </c>
      <c r="D215" s="25" t="s">
        <v>162</v>
      </c>
      <c r="E215" s="25" t="s">
        <v>100</v>
      </c>
      <c r="F215" s="81">
        <v>0</v>
      </c>
      <c r="G215" s="508"/>
      <c r="H215" s="509">
        <f t="shared" si="3"/>
        <v>0</v>
      </c>
      <c r="I215" s="90"/>
      <c r="J215" s="90"/>
      <c r="K215" s="25" t="s">
        <v>609</v>
      </c>
      <c r="L215" s="25" t="s">
        <v>610</v>
      </c>
      <c r="M215" s="91">
        <v>0</v>
      </c>
      <c r="N215" s="91">
        <v>0</v>
      </c>
      <c r="O215" s="91">
        <v>0</v>
      </c>
      <c r="P215" s="91">
        <v>0</v>
      </c>
    </row>
    <row r="216" spans="1:16">
      <c r="A216" s="25" t="s">
        <v>611</v>
      </c>
      <c r="B216" s="25" t="s">
        <v>612</v>
      </c>
      <c r="C216" s="25" t="s">
        <v>156</v>
      </c>
      <c r="D216" s="25" t="s">
        <v>162</v>
      </c>
      <c r="E216" s="25" t="s">
        <v>100</v>
      </c>
      <c r="F216" s="81">
        <v>0</v>
      </c>
      <c r="G216" s="508"/>
      <c r="H216" s="509">
        <f t="shared" si="3"/>
        <v>0</v>
      </c>
      <c r="I216" s="90"/>
      <c r="J216" s="90"/>
      <c r="K216" s="25" t="s">
        <v>611</v>
      </c>
      <c r="L216" s="25" t="s">
        <v>612</v>
      </c>
      <c r="M216" s="91">
        <v>0</v>
      </c>
      <c r="N216" s="91">
        <v>0</v>
      </c>
      <c r="O216" s="91">
        <v>0</v>
      </c>
      <c r="P216" s="91">
        <v>0</v>
      </c>
    </row>
    <row r="217" spans="1:16">
      <c r="A217" s="25" t="s">
        <v>613</v>
      </c>
      <c r="B217" s="25" t="s">
        <v>614</v>
      </c>
      <c r="C217" s="25" t="s">
        <v>156</v>
      </c>
      <c r="D217" s="25" t="s">
        <v>162</v>
      </c>
      <c r="E217" s="25" t="s">
        <v>100</v>
      </c>
      <c r="F217" s="81">
        <v>0</v>
      </c>
      <c r="G217" s="508"/>
      <c r="H217" s="509">
        <f t="shared" si="3"/>
        <v>0</v>
      </c>
      <c r="I217" s="90"/>
      <c r="J217" s="90"/>
      <c r="K217" s="25" t="s">
        <v>613</v>
      </c>
      <c r="L217" s="25" t="s">
        <v>614</v>
      </c>
      <c r="M217" s="91">
        <v>0</v>
      </c>
      <c r="N217" s="91">
        <v>0</v>
      </c>
      <c r="O217" s="91">
        <v>0</v>
      </c>
      <c r="P217" s="91">
        <v>0</v>
      </c>
    </row>
    <row r="218" spans="1:16">
      <c r="A218" s="25" t="s">
        <v>615</v>
      </c>
      <c r="B218" s="25" t="s">
        <v>616</v>
      </c>
      <c r="C218" s="25" t="s">
        <v>156</v>
      </c>
      <c r="D218" s="25" t="s">
        <v>162</v>
      </c>
      <c r="E218" s="25" t="s">
        <v>100</v>
      </c>
      <c r="F218" s="81">
        <v>0</v>
      </c>
      <c r="G218" s="508"/>
      <c r="H218" s="509">
        <f t="shared" si="3"/>
        <v>0</v>
      </c>
      <c r="I218" s="90"/>
      <c r="J218" s="90"/>
      <c r="K218" s="25" t="s">
        <v>615</v>
      </c>
      <c r="L218" s="25" t="s">
        <v>616</v>
      </c>
      <c r="M218" s="91">
        <v>0</v>
      </c>
      <c r="N218" s="91">
        <v>0</v>
      </c>
      <c r="O218" s="91">
        <v>0</v>
      </c>
      <c r="P218" s="91">
        <v>0</v>
      </c>
    </row>
    <row r="219" spans="1:16">
      <c r="A219" s="53" t="s">
        <v>617</v>
      </c>
      <c r="B219" s="53" t="s">
        <v>618</v>
      </c>
      <c r="C219" s="53" t="s">
        <v>156</v>
      </c>
      <c r="D219" s="53" t="s">
        <v>169</v>
      </c>
      <c r="E219" s="53" t="s">
        <v>619</v>
      </c>
      <c r="F219" s="83">
        <v>61785.79</v>
      </c>
      <c r="G219" s="84"/>
      <c r="H219" s="509"/>
      <c r="I219" s="90"/>
      <c r="J219" s="90"/>
      <c r="K219" s="53" t="s">
        <v>617</v>
      </c>
      <c r="L219" s="53" t="s">
        <v>618</v>
      </c>
      <c r="M219" s="92">
        <v>61785.79</v>
      </c>
      <c r="N219" s="92">
        <v>0</v>
      </c>
      <c r="O219" s="92"/>
      <c r="P219" s="92"/>
    </row>
    <row r="220" spans="1:16">
      <c r="A220" s="53" t="s">
        <v>620</v>
      </c>
      <c r="B220" s="53" t="s">
        <v>621</v>
      </c>
      <c r="C220" s="53" t="s">
        <v>156</v>
      </c>
      <c r="D220" s="53" t="s">
        <v>169</v>
      </c>
      <c r="E220" s="53" t="s">
        <v>622</v>
      </c>
      <c r="F220" s="83">
        <v>1656495.39</v>
      </c>
      <c r="G220" s="84"/>
      <c r="H220" s="509"/>
      <c r="I220" s="90"/>
      <c r="J220" s="90"/>
      <c r="K220" s="53" t="s">
        <v>620</v>
      </c>
      <c r="L220" s="53" t="s">
        <v>621</v>
      </c>
      <c r="M220" s="92">
        <v>1656494.89</v>
      </c>
      <c r="N220" s="92">
        <v>1314058.78</v>
      </c>
      <c r="O220" s="92">
        <v>363326.56</v>
      </c>
      <c r="P220" s="92">
        <v>-20890.45</v>
      </c>
    </row>
    <row r="221" spans="1:16">
      <c r="A221" s="53" t="s">
        <v>623</v>
      </c>
      <c r="B221" s="53" t="s">
        <v>624</v>
      </c>
      <c r="C221" s="53" t="s">
        <v>156</v>
      </c>
      <c r="D221" s="53" t="s">
        <v>169</v>
      </c>
      <c r="E221" s="53" t="s">
        <v>625</v>
      </c>
      <c r="F221" s="83">
        <v>1656495.39</v>
      </c>
      <c r="G221" s="84"/>
      <c r="H221" s="509"/>
      <c r="I221" s="90"/>
      <c r="J221" s="90"/>
      <c r="K221" s="53" t="s">
        <v>623</v>
      </c>
      <c r="L221" s="53" t="s">
        <v>624</v>
      </c>
      <c r="M221" s="92">
        <v>1656494.89</v>
      </c>
      <c r="N221" s="92">
        <v>1314058.78</v>
      </c>
      <c r="O221" s="92">
        <v>363326.56</v>
      </c>
      <c r="P221" s="92">
        <v>-20890.45</v>
      </c>
    </row>
    <row r="222" spans="1:16">
      <c r="A222" s="53" t="s">
        <v>626</v>
      </c>
      <c r="B222" s="53" t="s">
        <v>627</v>
      </c>
      <c r="C222" s="53" t="s">
        <v>156</v>
      </c>
      <c r="D222" s="53" t="s">
        <v>157</v>
      </c>
      <c r="E222" s="53" t="s">
        <v>100</v>
      </c>
      <c r="F222" s="83">
        <v>0</v>
      </c>
      <c r="G222" s="84"/>
      <c r="H222" s="509"/>
      <c r="I222" s="90"/>
      <c r="J222" s="90"/>
      <c r="K222" s="53" t="s">
        <v>626</v>
      </c>
      <c r="L222" s="53" t="s">
        <v>627</v>
      </c>
      <c r="M222" s="92">
        <v>0</v>
      </c>
      <c r="N222" s="92">
        <v>0</v>
      </c>
      <c r="O222" s="92">
        <v>0</v>
      </c>
      <c r="P222" s="92">
        <v>0</v>
      </c>
    </row>
    <row r="223" spans="1:16">
      <c r="A223" s="25" t="s">
        <v>628</v>
      </c>
      <c r="B223" s="25" t="s">
        <v>629</v>
      </c>
      <c r="C223" s="25" t="s">
        <v>156</v>
      </c>
      <c r="D223" s="25" t="s">
        <v>162</v>
      </c>
      <c r="E223" s="25" t="s">
        <v>100</v>
      </c>
      <c r="F223" s="81">
        <v>9858.33</v>
      </c>
      <c r="G223" s="508"/>
      <c r="H223" s="509">
        <f t="shared" si="3"/>
        <v>9858.33</v>
      </c>
      <c r="I223" s="90"/>
      <c r="J223" s="90"/>
      <c r="K223" s="90"/>
      <c r="L223" s="90"/>
      <c r="M223" s="90"/>
      <c r="N223" s="90"/>
      <c r="O223" s="90"/>
      <c r="P223" s="90"/>
    </row>
    <row r="224" spans="1:16">
      <c r="A224" s="53" t="s">
        <v>630</v>
      </c>
      <c r="B224" s="53" t="s">
        <v>631</v>
      </c>
      <c r="C224" s="53" t="s">
        <v>156</v>
      </c>
      <c r="D224" s="53" t="s">
        <v>169</v>
      </c>
      <c r="E224" s="53" t="s">
        <v>632</v>
      </c>
      <c r="F224" s="83">
        <v>9858.33</v>
      </c>
      <c r="G224" s="84"/>
      <c r="H224" s="509"/>
      <c r="I224" s="90"/>
      <c r="J224" s="90"/>
      <c r="K224" s="90"/>
      <c r="L224" s="90"/>
      <c r="M224" s="90"/>
      <c r="N224" s="90"/>
      <c r="O224" s="90"/>
      <c r="P224" s="90"/>
    </row>
    <row r="225" spans="1:16">
      <c r="A225" s="53" t="s">
        <v>633</v>
      </c>
      <c r="B225" s="53" t="s">
        <v>634</v>
      </c>
      <c r="C225" s="53" t="s">
        <v>156</v>
      </c>
      <c r="D225" s="53" t="s">
        <v>169</v>
      </c>
      <c r="E225" s="53" t="s">
        <v>635</v>
      </c>
      <c r="F225" s="83">
        <v>1666353.72</v>
      </c>
      <c r="G225" s="84"/>
      <c r="H225" s="509"/>
      <c r="I225" s="90"/>
      <c r="J225" s="90"/>
      <c r="K225" s="90"/>
      <c r="L225" s="90"/>
      <c r="M225" s="90"/>
      <c r="N225" s="90"/>
      <c r="O225" s="90"/>
      <c r="P225" s="90"/>
    </row>
    <row r="226" spans="1:16">
      <c r="A226" s="53" t="s">
        <v>636</v>
      </c>
      <c r="B226" s="53" t="s">
        <v>637</v>
      </c>
      <c r="C226" s="53" t="s">
        <v>156</v>
      </c>
      <c r="D226" s="53" t="s">
        <v>157</v>
      </c>
      <c r="E226" s="53" t="s">
        <v>100</v>
      </c>
      <c r="F226" s="83">
        <v>0</v>
      </c>
      <c r="G226" s="84"/>
      <c r="H226" s="509"/>
      <c r="I226" s="90"/>
      <c r="J226" s="90"/>
      <c r="K226" s="25"/>
      <c r="L226" s="25"/>
      <c r="M226" s="26"/>
      <c r="N226" s="26"/>
      <c r="O226" s="26"/>
      <c r="P226" s="26"/>
    </row>
    <row r="227" spans="1:16">
      <c r="A227" s="53" t="s">
        <v>2165</v>
      </c>
      <c r="B227" s="53" t="s">
        <v>639</v>
      </c>
      <c r="C227" s="53" t="s">
        <v>156</v>
      </c>
      <c r="D227" s="53" t="s">
        <v>157</v>
      </c>
      <c r="E227" s="53" t="s">
        <v>100</v>
      </c>
      <c r="F227" s="83">
        <v>0</v>
      </c>
      <c r="G227" s="84"/>
      <c r="H227" s="509"/>
      <c r="I227" s="90"/>
      <c r="J227" s="90"/>
      <c r="K227" s="25"/>
      <c r="L227" s="25"/>
      <c r="M227" s="26"/>
      <c r="N227" s="26"/>
      <c r="O227" s="26"/>
      <c r="P227" s="26"/>
    </row>
    <row r="228" spans="1:16">
      <c r="A228" s="53" t="s">
        <v>638</v>
      </c>
      <c r="B228" s="53" t="s">
        <v>639</v>
      </c>
      <c r="C228" s="53" t="s">
        <v>156</v>
      </c>
      <c r="D228" s="53" t="s">
        <v>157</v>
      </c>
      <c r="E228" s="53" t="s">
        <v>100</v>
      </c>
      <c r="F228" s="83">
        <v>0</v>
      </c>
      <c r="G228" s="84"/>
      <c r="H228" s="509"/>
      <c r="I228" s="90"/>
      <c r="J228" s="90"/>
      <c r="K228" s="25"/>
      <c r="L228" s="25"/>
      <c r="M228" s="26"/>
      <c r="N228" s="26"/>
      <c r="O228" s="26"/>
      <c r="P228" s="26"/>
    </row>
    <row r="229" spans="1:16">
      <c r="A229" s="25" t="s">
        <v>640</v>
      </c>
      <c r="B229" s="25" t="s">
        <v>641</v>
      </c>
      <c r="C229" s="25" t="s">
        <v>156</v>
      </c>
      <c r="D229" s="25" t="s">
        <v>162</v>
      </c>
      <c r="E229" s="25" t="s">
        <v>100</v>
      </c>
      <c r="F229" s="81">
        <v>-2307643.46</v>
      </c>
      <c r="G229" s="508"/>
      <c r="H229" s="509">
        <f t="shared" si="3"/>
        <v>-2307643.46</v>
      </c>
      <c r="I229" s="90"/>
      <c r="J229" s="90"/>
      <c r="K229" s="90"/>
      <c r="L229" s="90"/>
      <c r="M229" s="90"/>
      <c r="N229" s="90"/>
      <c r="O229" s="90"/>
      <c r="P229" s="90"/>
    </row>
    <row r="230" spans="1:16">
      <c r="A230" s="25" t="s">
        <v>642</v>
      </c>
      <c r="B230" s="25" t="s">
        <v>643</v>
      </c>
      <c r="C230" s="25" t="s">
        <v>156</v>
      </c>
      <c r="D230" s="25" t="s">
        <v>162</v>
      </c>
      <c r="E230" s="25" t="s">
        <v>100</v>
      </c>
      <c r="F230" s="81">
        <v>-71160.73</v>
      </c>
      <c r="G230" s="508"/>
      <c r="H230" s="509">
        <f t="shared" si="3"/>
        <v>-71160.73</v>
      </c>
      <c r="I230" s="90"/>
      <c r="J230" s="90"/>
      <c r="K230" s="90"/>
      <c r="L230" s="90"/>
      <c r="M230" s="90"/>
      <c r="N230" s="90"/>
      <c r="O230" s="90"/>
      <c r="P230" s="90"/>
    </row>
    <row r="231" spans="1:16">
      <c r="A231" s="25" t="s">
        <v>644</v>
      </c>
      <c r="B231" s="25" t="s">
        <v>645</v>
      </c>
      <c r="C231" s="25" t="s">
        <v>156</v>
      </c>
      <c r="D231" s="25" t="s">
        <v>162</v>
      </c>
      <c r="E231" s="25" t="s">
        <v>100</v>
      </c>
      <c r="F231" s="81">
        <v>0</v>
      </c>
      <c r="G231" s="508"/>
      <c r="H231" s="509">
        <f t="shared" si="3"/>
        <v>0</v>
      </c>
      <c r="I231" s="90"/>
      <c r="J231" s="90"/>
      <c r="K231" s="90"/>
      <c r="L231" s="90"/>
      <c r="M231" s="90"/>
      <c r="N231" s="90"/>
      <c r="O231" s="90"/>
      <c r="P231" s="90"/>
    </row>
    <row r="232" spans="1:16">
      <c r="A232" s="25" t="s">
        <v>646</v>
      </c>
      <c r="B232" s="25" t="s">
        <v>202</v>
      </c>
      <c r="C232" s="25" t="s">
        <v>156</v>
      </c>
      <c r="D232" s="25" t="s">
        <v>162</v>
      </c>
      <c r="E232" s="25" t="s">
        <v>100</v>
      </c>
      <c r="F232" s="81">
        <v>0</v>
      </c>
      <c r="G232" s="508"/>
      <c r="H232" s="509">
        <f t="shared" si="3"/>
        <v>0</v>
      </c>
      <c r="I232" s="90"/>
      <c r="J232" s="90"/>
      <c r="K232" s="90"/>
      <c r="L232" s="90"/>
      <c r="M232" s="90"/>
      <c r="N232" s="90"/>
      <c r="O232" s="90"/>
      <c r="P232" s="90"/>
    </row>
    <row r="233" spans="1:16">
      <c r="A233" s="25" t="s">
        <v>647</v>
      </c>
      <c r="B233" s="25" t="s">
        <v>648</v>
      </c>
      <c r="C233" s="25" t="s">
        <v>156</v>
      </c>
      <c r="D233" s="25" t="s">
        <v>162</v>
      </c>
      <c r="E233" s="25" t="s">
        <v>100</v>
      </c>
      <c r="F233" s="81">
        <v>115600</v>
      </c>
      <c r="G233" s="508"/>
      <c r="H233" s="509">
        <f t="shared" si="3"/>
        <v>115600</v>
      </c>
      <c r="I233" s="90"/>
      <c r="J233" s="90"/>
      <c r="K233" s="90"/>
      <c r="L233" s="90"/>
      <c r="M233" s="90"/>
      <c r="N233" s="90"/>
      <c r="O233" s="90"/>
      <c r="P233" s="90"/>
    </row>
    <row r="234" spans="1:16">
      <c r="A234" s="25" t="s">
        <v>649</v>
      </c>
      <c r="B234" s="25" t="s">
        <v>650</v>
      </c>
      <c r="C234" s="25" t="s">
        <v>156</v>
      </c>
      <c r="D234" s="25" t="s">
        <v>162</v>
      </c>
      <c r="E234" s="25" t="s">
        <v>100</v>
      </c>
      <c r="F234" s="81">
        <v>165599.57999999999</v>
      </c>
      <c r="G234" s="508"/>
      <c r="H234" s="509">
        <f t="shared" si="3"/>
        <v>165599.57999999999</v>
      </c>
      <c r="I234" s="90"/>
      <c r="J234" s="90"/>
      <c r="K234" s="90"/>
      <c r="L234" s="90"/>
      <c r="M234" s="90"/>
      <c r="N234" s="90"/>
      <c r="O234" s="90"/>
      <c r="P234" s="90"/>
    </row>
    <row r="235" spans="1:16">
      <c r="A235" s="25" t="s">
        <v>651</v>
      </c>
      <c r="B235" s="25" t="s">
        <v>652</v>
      </c>
      <c r="C235" s="25" t="s">
        <v>156</v>
      </c>
      <c r="D235" s="25" t="s">
        <v>162</v>
      </c>
      <c r="E235" s="25" t="s">
        <v>100</v>
      </c>
      <c r="F235" s="81">
        <v>271311.94</v>
      </c>
      <c r="G235" s="508"/>
      <c r="H235" s="509">
        <f t="shared" si="3"/>
        <v>271311.94</v>
      </c>
      <c r="I235" s="90"/>
      <c r="J235" s="90"/>
      <c r="K235" s="90"/>
      <c r="L235" s="90"/>
      <c r="M235" s="90"/>
      <c r="N235" s="90"/>
      <c r="O235" s="90"/>
      <c r="P235" s="90"/>
    </row>
    <row r="236" spans="1:16">
      <c r="A236" s="25" t="s">
        <v>653</v>
      </c>
      <c r="B236" s="25" t="s">
        <v>654</v>
      </c>
      <c r="C236" s="25" t="s">
        <v>156</v>
      </c>
      <c r="D236" s="25" t="s">
        <v>162</v>
      </c>
      <c r="E236" s="25" t="s">
        <v>100</v>
      </c>
      <c r="F236" s="81">
        <v>5590</v>
      </c>
      <c r="G236" s="508"/>
      <c r="H236" s="509">
        <f t="shared" si="3"/>
        <v>5590</v>
      </c>
      <c r="I236" s="90"/>
      <c r="J236" s="90"/>
      <c r="K236" s="90"/>
      <c r="L236" s="90"/>
      <c r="M236" s="90"/>
      <c r="N236" s="90"/>
      <c r="O236" s="90"/>
      <c r="P236" s="90"/>
    </row>
    <row r="237" spans="1:16">
      <c r="A237" s="25" t="s">
        <v>655</v>
      </c>
      <c r="B237" s="25" t="s">
        <v>656</v>
      </c>
      <c r="C237" s="25" t="s">
        <v>156</v>
      </c>
      <c r="D237" s="25" t="s">
        <v>162</v>
      </c>
      <c r="E237" s="25" t="s">
        <v>100</v>
      </c>
      <c r="F237" s="81">
        <v>32668</v>
      </c>
      <c r="G237" s="508"/>
      <c r="H237" s="509">
        <f t="shared" si="3"/>
        <v>32668</v>
      </c>
      <c r="I237" s="90"/>
      <c r="J237" s="90"/>
      <c r="K237" s="90"/>
      <c r="L237" s="90"/>
      <c r="M237" s="90"/>
      <c r="N237" s="90"/>
      <c r="O237" s="90"/>
      <c r="P237" s="90"/>
    </row>
    <row r="238" spans="1:16">
      <c r="A238" s="25" t="s">
        <v>657</v>
      </c>
      <c r="B238" s="25" t="s">
        <v>658</v>
      </c>
      <c r="C238" s="25" t="s">
        <v>156</v>
      </c>
      <c r="D238" s="25" t="s">
        <v>162</v>
      </c>
      <c r="E238" s="25" t="s">
        <v>100</v>
      </c>
      <c r="F238" s="81">
        <v>103</v>
      </c>
      <c r="G238" s="508"/>
      <c r="H238" s="509">
        <f t="shared" si="3"/>
        <v>103</v>
      </c>
      <c r="I238" s="90"/>
      <c r="J238" s="90"/>
      <c r="K238" s="90"/>
      <c r="L238" s="90"/>
      <c r="M238" s="90"/>
      <c r="N238" s="90"/>
      <c r="O238" s="90"/>
      <c r="P238" s="90"/>
    </row>
    <row r="239" spans="1:16">
      <c r="A239" s="25" t="s">
        <v>659</v>
      </c>
      <c r="B239" s="25" t="s">
        <v>660</v>
      </c>
      <c r="C239" s="25" t="s">
        <v>156</v>
      </c>
      <c r="D239" s="25" t="s">
        <v>162</v>
      </c>
      <c r="E239" s="25" t="s">
        <v>100</v>
      </c>
      <c r="F239" s="81">
        <v>859929.43</v>
      </c>
      <c r="G239" s="508"/>
      <c r="H239" s="509">
        <f t="shared" si="3"/>
        <v>859929.43</v>
      </c>
      <c r="I239" s="90"/>
      <c r="J239" s="90"/>
      <c r="K239" s="90"/>
      <c r="L239" s="90"/>
      <c r="M239" s="90"/>
      <c r="N239" s="90"/>
      <c r="O239" s="90"/>
      <c r="P239" s="90"/>
    </row>
    <row r="240" spans="1:16">
      <c r="A240" s="25" t="s">
        <v>661</v>
      </c>
      <c r="B240" s="25" t="s">
        <v>662</v>
      </c>
      <c r="C240" s="25" t="s">
        <v>156</v>
      </c>
      <c r="D240" s="25" t="s">
        <v>162</v>
      </c>
      <c r="E240" s="25" t="s">
        <v>100</v>
      </c>
      <c r="F240" s="81">
        <v>0</v>
      </c>
      <c r="G240" s="508"/>
      <c r="H240" s="509">
        <f t="shared" si="3"/>
        <v>0</v>
      </c>
      <c r="I240" s="90"/>
      <c r="J240" s="90"/>
      <c r="K240" s="90"/>
      <c r="L240" s="90"/>
      <c r="M240" s="90"/>
      <c r="N240" s="90"/>
      <c r="O240" s="90"/>
      <c r="P240" s="90"/>
    </row>
    <row r="241" spans="1:8">
      <c r="A241" s="25" t="s">
        <v>663</v>
      </c>
      <c r="B241" s="25" t="s">
        <v>664</v>
      </c>
      <c r="C241" s="25" t="s">
        <v>156</v>
      </c>
      <c r="D241" s="25" t="s">
        <v>162</v>
      </c>
      <c r="E241" s="25" t="s">
        <v>100</v>
      </c>
      <c r="F241" s="81">
        <v>726107.16</v>
      </c>
      <c r="G241" s="508"/>
      <c r="H241" s="509">
        <f t="shared" si="3"/>
        <v>726107.16</v>
      </c>
    </row>
    <row r="242" spans="1:8">
      <c r="A242" s="25" t="s">
        <v>665</v>
      </c>
      <c r="B242" s="25" t="s">
        <v>666</v>
      </c>
      <c r="C242" s="25" t="s">
        <v>156</v>
      </c>
      <c r="D242" s="25" t="s">
        <v>162</v>
      </c>
      <c r="E242" s="25" t="s">
        <v>100</v>
      </c>
      <c r="F242" s="81">
        <v>144042.13</v>
      </c>
      <c r="G242" s="508"/>
      <c r="H242" s="509">
        <f t="shared" si="3"/>
        <v>144042.13</v>
      </c>
    </row>
    <row r="243" spans="1:8">
      <c r="A243" s="25" t="s">
        <v>667</v>
      </c>
      <c r="B243" s="25" t="s">
        <v>220</v>
      </c>
      <c r="C243" s="25" t="s">
        <v>156</v>
      </c>
      <c r="D243" s="25" t="s">
        <v>162</v>
      </c>
      <c r="E243" s="25" t="s">
        <v>100</v>
      </c>
      <c r="F243" s="81">
        <v>22394.16</v>
      </c>
      <c r="G243" s="508"/>
      <c r="H243" s="509">
        <f t="shared" si="3"/>
        <v>22394.16</v>
      </c>
    </row>
    <row r="244" spans="1:8">
      <c r="A244" s="25" t="s">
        <v>668</v>
      </c>
      <c r="B244" s="25" t="s">
        <v>669</v>
      </c>
      <c r="C244" s="25" t="s">
        <v>156</v>
      </c>
      <c r="D244" s="25" t="s">
        <v>162</v>
      </c>
      <c r="E244" s="25" t="s">
        <v>100</v>
      </c>
      <c r="F244" s="81">
        <v>112671.41</v>
      </c>
      <c r="G244" s="508"/>
      <c r="H244" s="509">
        <f t="shared" si="3"/>
        <v>112671.41</v>
      </c>
    </row>
    <row r="245" spans="1:8">
      <c r="A245" s="25" t="s">
        <v>670</v>
      </c>
      <c r="B245" s="25" t="s">
        <v>671</v>
      </c>
      <c r="C245" s="25" t="s">
        <v>156</v>
      </c>
      <c r="D245" s="25" t="s">
        <v>162</v>
      </c>
      <c r="E245" s="25" t="s">
        <v>100</v>
      </c>
      <c r="F245" s="81">
        <v>0</v>
      </c>
      <c r="G245" s="508"/>
      <c r="H245" s="509">
        <f t="shared" si="3"/>
        <v>0</v>
      </c>
    </row>
    <row r="246" spans="1:8">
      <c r="A246" s="53" t="s">
        <v>2166</v>
      </c>
      <c r="B246" s="53" t="s">
        <v>2167</v>
      </c>
      <c r="C246" s="53" t="s">
        <v>156</v>
      </c>
      <c r="D246" s="53" t="s">
        <v>169</v>
      </c>
      <c r="E246" s="53" t="s">
        <v>2168</v>
      </c>
      <c r="F246" s="83">
        <v>77212.62</v>
      </c>
      <c r="G246" s="84"/>
      <c r="H246" s="509"/>
    </row>
    <row r="247" spans="1:8">
      <c r="A247" s="53" t="s">
        <v>672</v>
      </c>
      <c r="B247" s="53" t="s">
        <v>673</v>
      </c>
      <c r="C247" s="53" t="s">
        <v>156</v>
      </c>
      <c r="D247" s="53" t="s">
        <v>169</v>
      </c>
      <c r="E247" s="53" t="s">
        <v>2169</v>
      </c>
      <c r="F247" s="83">
        <v>77212.62</v>
      </c>
      <c r="G247" s="84"/>
      <c r="H247" s="509"/>
    </row>
    <row r="248" spans="1:8">
      <c r="A248" s="53" t="s">
        <v>675</v>
      </c>
      <c r="B248" s="53" t="s">
        <v>676</v>
      </c>
      <c r="C248" s="53" t="s">
        <v>156</v>
      </c>
      <c r="D248" s="53" t="s">
        <v>157</v>
      </c>
      <c r="E248" s="53" t="s">
        <v>100</v>
      </c>
      <c r="F248" s="83">
        <v>0</v>
      </c>
      <c r="G248" s="84"/>
      <c r="H248" s="509"/>
    </row>
    <row r="249" spans="1:8">
      <c r="A249" s="25" t="s">
        <v>677</v>
      </c>
      <c r="B249" s="25" t="s">
        <v>678</v>
      </c>
      <c r="C249" s="25" t="s">
        <v>156</v>
      </c>
      <c r="D249" s="25" t="s">
        <v>162</v>
      </c>
      <c r="E249" s="25" t="s">
        <v>100</v>
      </c>
      <c r="F249" s="81">
        <v>0</v>
      </c>
      <c r="G249" s="508"/>
      <c r="H249" s="509">
        <f t="shared" si="3"/>
        <v>0</v>
      </c>
    </row>
    <row r="250" spans="1:8">
      <c r="A250" s="25" t="s">
        <v>679</v>
      </c>
      <c r="B250" s="25" t="s">
        <v>680</v>
      </c>
      <c r="C250" s="25" t="s">
        <v>156</v>
      </c>
      <c r="D250" s="25" t="s">
        <v>162</v>
      </c>
      <c r="E250" s="25" t="s">
        <v>100</v>
      </c>
      <c r="F250" s="81">
        <v>0</v>
      </c>
      <c r="G250" s="508"/>
      <c r="H250" s="509">
        <f t="shared" si="3"/>
        <v>0</v>
      </c>
    </row>
    <row r="251" spans="1:8">
      <c r="A251" s="53" t="s">
        <v>681</v>
      </c>
      <c r="B251" s="53" t="s">
        <v>682</v>
      </c>
      <c r="C251" s="53" t="s">
        <v>156</v>
      </c>
      <c r="D251" s="53" t="s">
        <v>169</v>
      </c>
      <c r="E251" s="53" t="s">
        <v>683</v>
      </c>
      <c r="F251" s="83">
        <v>0</v>
      </c>
      <c r="G251" s="84"/>
      <c r="H251" s="509"/>
    </row>
    <row r="252" spans="1:8">
      <c r="A252" s="53" t="s">
        <v>684</v>
      </c>
      <c r="B252" s="53" t="s">
        <v>685</v>
      </c>
      <c r="C252" s="53" t="s">
        <v>156</v>
      </c>
      <c r="D252" s="53" t="s">
        <v>157</v>
      </c>
      <c r="E252" s="53" t="s">
        <v>100</v>
      </c>
      <c r="F252" s="83">
        <v>0</v>
      </c>
      <c r="G252" s="84"/>
      <c r="H252" s="509"/>
    </row>
    <row r="253" spans="1:8">
      <c r="A253" s="25" t="s">
        <v>686</v>
      </c>
      <c r="B253" s="25" t="s">
        <v>687</v>
      </c>
      <c r="C253" s="25" t="s">
        <v>156</v>
      </c>
      <c r="D253" s="25" t="s">
        <v>162</v>
      </c>
      <c r="E253" s="25" t="s">
        <v>100</v>
      </c>
      <c r="F253" s="81">
        <v>174989.32</v>
      </c>
      <c r="G253" s="508"/>
      <c r="H253" s="509">
        <f t="shared" si="3"/>
        <v>174989.32</v>
      </c>
    </row>
    <row r="254" spans="1:8">
      <c r="A254" s="25" t="s">
        <v>688</v>
      </c>
      <c r="B254" s="25" t="s">
        <v>689</v>
      </c>
      <c r="C254" s="25" t="s">
        <v>156</v>
      </c>
      <c r="D254" s="25" t="s">
        <v>162</v>
      </c>
      <c r="E254" s="25" t="s">
        <v>100</v>
      </c>
      <c r="F254" s="81">
        <v>0</v>
      </c>
      <c r="G254" s="508"/>
      <c r="H254" s="509">
        <f t="shared" si="3"/>
        <v>0</v>
      </c>
    </row>
    <row r="255" spans="1:8">
      <c r="A255" s="25" t="s">
        <v>690</v>
      </c>
      <c r="B255" s="25" t="s">
        <v>691</v>
      </c>
      <c r="C255" s="25" t="s">
        <v>156</v>
      </c>
      <c r="D255" s="25" t="s">
        <v>162</v>
      </c>
      <c r="E255" s="25" t="s">
        <v>100</v>
      </c>
      <c r="F255" s="81">
        <v>68190.63</v>
      </c>
      <c r="G255" s="508"/>
      <c r="H255" s="509">
        <f t="shared" si="3"/>
        <v>68190.63</v>
      </c>
    </row>
    <row r="256" spans="1:8">
      <c r="A256" s="25" t="s">
        <v>692</v>
      </c>
      <c r="B256" s="25" t="s">
        <v>693</v>
      </c>
      <c r="C256" s="25" t="s">
        <v>156</v>
      </c>
      <c r="D256" s="25" t="s">
        <v>162</v>
      </c>
      <c r="E256" s="25" t="s">
        <v>100</v>
      </c>
      <c r="F256" s="81">
        <v>9621.9500000000007</v>
      </c>
      <c r="G256" s="508"/>
      <c r="H256" s="509">
        <f t="shared" si="3"/>
        <v>9621.9500000000007</v>
      </c>
    </row>
    <row r="257" spans="1:8">
      <c r="A257" s="25" t="s">
        <v>694</v>
      </c>
      <c r="B257" s="25" t="s">
        <v>695</v>
      </c>
      <c r="C257" s="25" t="s">
        <v>156</v>
      </c>
      <c r="D257" s="25" t="s">
        <v>162</v>
      </c>
      <c r="E257" s="25" t="s">
        <v>100</v>
      </c>
      <c r="F257" s="81">
        <v>11227.5</v>
      </c>
      <c r="G257" s="508"/>
      <c r="H257" s="509">
        <f t="shared" si="3"/>
        <v>11227.5</v>
      </c>
    </row>
    <row r="258" spans="1:8">
      <c r="A258" s="53" t="s">
        <v>696</v>
      </c>
      <c r="B258" s="53" t="s">
        <v>697</v>
      </c>
      <c r="C258" s="53" t="s">
        <v>156</v>
      </c>
      <c r="D258" s="53" t="s">
        <v>169</v>
      </c>
      <c r="E258" s="53" t="s">
        <v>698</v>
      </c>
      <c r="F258" s="83">
        <v>264029.40000000002</v>
      </c>
      <c r="G258" s="84"/>
      <c r="H258" s="509"/>
    </row>
    <row r="259" spans="1:8">
      <c r="A259" s="53" t="s">
        <v>699</v>
      </c>
      <c r="B259" s="53" t="s">
        <v>700</v>
      </c>
      <c r="C259" s="53" t="s">
        <v>156</v>
      </c>
      <c r="D259" s="53" t="s">
        <v>157</v>
      </c>
      <c r="E259" s="53" t="s">
        <v>100</v>
      </c>
      <c r="F259" s="83">
        <v>0</v>
      </c>
      <c r="G259" s="84"/>
      <c r="H259" s="509"/>
    </row>
    <row r="260" spans="1:8">
      <c r="A260" s="25" t="s">
        <v>701</v>
      </c>
      <c r="B260" s="25" t="s">
        <v>702</v>
      </c>
      <c r="C260" s="25" t="s">
        <v>156</v>
      </c>
      <c r="D260" s="25" t="s">
        <v>162</v>
      </c>
      <c r="E260" s="25" t="s">
        <v>100</v>
      </c>
      <c r="F260" s="81">
        <v>-1006519.55</v>
      </c>
      <c r="G260" s="508"/>
      <c r="H260" s="509">
        <f t="shared" si="3"/>
        <v>-1006519.55</v>
      </c>
    </row>
    <row r="261" spans="1:8">
      <c r="A261" s="25" t="s">
        <v>703</v>
      </c>
      <c r="B261" s="25" t="s">
        <v>704</v>
      </c>
      <c r="C261" s="25" t="s">
        <v>156</v>
      </c>
      <c r="D261" s="25" t="s">
        <v>162</v>
      </c>
      <c r="E261" s="25" t="s">
        <v>100</v>
      </c>
      <c r="F261" s="81">
        <v>0</v>
      </c>
      <c r="G261" s="508"/>
      <c r="H261" s="509">
        <f t="shared" si="3"/>
        <v>0</v>
      </c>
    </row>
    <row r="262" spans="1:8">
      <c r="A262" s="25" t="s">
        <v>705</v>
      </c>
      <c r="B262" s="25" t="s">
        <v>664</v>
      </c>
      <c r="C262" s="25" t="s">
        <v>156</v>
      </c>
      <c r="D262" s="25" t="s">
        <v>162</v>
      </c>
      <c r="E262" s="25" t="s">
        <v>100</v>
      </c>
      <c r="F262" s="81">
        <v>482517.1</v>
      </c>
      <c r="G262" s="508"/>
      <c r="H262" s="509">
        <f t="shared" ref="H262:H325" si="4">F262</f>
        <v>482517.1</v>
      </c>
    </row>
    <row r="263" spans="1:8">
      <c r="A263" s="25" t="s">
        <v>706</v>
      </c>
      <c r="B263" s="25" t="s">
        <v>707</v>
      </c>
      <c r="C263" s="25" t="s">
        <v>156</v>
      </c>
      <c r="D263" s="25" t="s">
        <v>162</v>
      </c>
      <c r="E263" s="25" t="s">
        <v>100</v>
      </c>
      <c r="F263" s="81">
        <v>477023</v>
      </c>
      <c r="G263" s="508"/>
      <c r="H263" s="509">
        <f t="shared" si="4"/>
        <v>477023</v>
      </c>
    </row>
    <row r="264" spans="1:8">
      <c r="A264" s="25" t="s">
        <v>708</v>
      </c>
      <c r="B264" s="25" t="s">
        <v>709</v>
      </c>
      <c r="C264" s="25" t="s">
        <v>156</v>
      </c>
      <c r="D264" s="25" t="s">
        <v>162</v>
      </c>
      <c r="E264" s="25" t="s">
        <v>100</v>
      </c>
      <c r="F264" s="81">
        <v>13922.14</v>
      </c>
      <c r="G264" s="508"/>
      <c r="H264" s="509">
        <f t="shared" si="4"/>
        <v>13922.14</v>
      </c>
    </row>
    <row r="265" spans="1:8">
      <c r="A265" s="25" t="s">
        <v>710</v>
      </c>
      <c r="B265" s="25" t="s">
        <v>711</v>
      </c>
      <c r="C265" s="25" t="s">
        <v>156</v>
      </c>
      <c r="D265" s="25" t="s">
        <v>162</v>
      </c>
      <c r="E265" s="25" t="s">
        <v>100</v>
      </c>
      <c r="F265" s="81">
        <v>100301.86</v>
      </c>
      <c r="G265" s="508">
        <v>-25000</v>
      </c>
      <c r="H265" s="509">
        <f>F265+G265</f>
        <v>75301.86</v>
      </c>
    </row>
    <row r="266" spans="1:8">
      <c r="A266" s="53" t="s">
        <v>712</v>
      </c>
      <c r="B266" s="53" t="s">
        <v>713</v>
      </c>
      <c r="C266" s="53" t="s">
        <v>156</v>
      </c>
      <c r="D266" s="53" t="s">
        <v>169</v>
      </c>
      <c r="E266" s="53" t="s">
        <v>714</v>
      </c>
      <c r="F266" s="83">
        <v>67244.55</v>
      </c>
      <c r="G266" s="84"/>
      <c r="H266" s="509"/>
    </row>
    <row r="267" spans="1:8">
      <c r="A267" s="53" t="s">
        <v>715</v>
      </c>
      <c r="B267" s="53" t="s">
        <v>716</v>
      </c>
      <c r="C267" s="53" t="s">
        <v>156</v>
      </c>
      <c r="D267" s="53" t="s">
        <v>169</v>
      </c>
      <c r="E267" s="53" t="s">
        <v>717</v>
      </c>
      <c r="F267" s="83">
        <v>408486.57</v>
      </c>
      <c r="G267" s="84"/>
      <c r="H267" s="509"/>
    </row>
    <row r="268" spans="1:8">
      <c r="A268" s="53" t="s">
        <v>718</v>
      </c>
      <c r="B268" s="53" t="s">
        <v>719</v>
      </c>
      <c r="C268" s="53" t="s">
        <v>156</v>
      </c>
      <c r="D268" s="53" t="s">
        <v>157</v>
      </c>
      <c r="E268" s="53" t="s">
        <v>100</v>
      </c>
      <c r="F268" s="83">
        <v>0</v>
      </c>
      <c r="G268" s="84"/>
      <c r="H268" s="509"/>
    </row>
    <row r="269" spans="1:8">
      <c r="A269" s="53" t="s">
        <v>720</v>
      </c>
      <c r="B269" s="53" t="s">
        <v>721</v>
      </c>
      <c r="C269" s="53" t="s">
        <v>156</v>
      </c>
      <c r="D269" s="53" t="s">
        <v>157</v>
      </c>
      <c r="E269" s="53" t="s">
        <v>100</v>
      </c>
      <c r="F269" s="83">
        <v>0</v>
      </c>
      <c r="G269" s="84"/>
      <c r="H269" s="509"/>
    </row>
    <row r="270" spans="1:8">
      <c r="A270" s="25" t="s">
        <v>722</v>
      </c>
      <c r="B270" s="25" t="s">
        <v>723</v>
      </c>
      <c r="C270" s="25" t="s">
        <v>156</v>
      </c>
      <c r="D270" s="25" t="s">
        <v>162</v>
      </c>
      <c r="E270" s="25" t="s">
        <v>100</v>
      </c>
      <c r="F270" s="81">
        <v>-54073.56</v>
      </c>
      <c r="G270" s="508"/>
      <c r="H270" s="97">
        <f>F270+G270</f>
        <v>-54073.56</v>
      </c>
    </row>
    <row r="271" spans="1:8">
      <c r="A271" s="25" t="s">
        <v>724</v>
      </c>
      <c r="B271" s="25" t="s">
        <v>725</v>
      </c>
      <c r="C271" s="25" t="s">
        <v>156</v>
      </c>
      <c r="D271" s="25" t="s">
        <v>162</v>
      </c>
      <c r="E271" s="25" t="s">
        <v>100</v>
      </c>
      <c r="F271" s="81">
        <v>-105083.6</v>
      </c>
      <c r="G271" s="508"/>
      <c r="H271" s="509">
        <f t="shared" si="4"/>
        <v>-105083.6</v>
      </c>
    </row>
    <row r="272" spans="1:8">
      <c r="A272" s="25" t="s">
        <v>726</v>
      </c>
      <c r="B272" s="25" t="s">
        <v>727</v>
      </c>
      <c r="C272" s="25" t="s">
        <v>156</v>
      </c>
      <c r="D272" s="25" t="s">
        <v>162</v>
      </c>
      <c r="E272" s="25" t="s">
        <v>100</v>
      </c>
      <c r="F272" s="81">
        <v>-91600</v>
      </c>
      <c r="G272" s="508"/>
      <c r="H272" s="509">
        <f t="shared" si="4"/>
        <v>-91600</v>
      </c>
    </row>
    <row r="273" spans="1:8">
      <c r="A273" s="25" t="s">
        <v>728</v>
      </c>
      <c r="B273" s="25" t="s">
        <v>729</v>
      </c>
      <c r="C273" s="25" t="s">
        <v>156</v>
      </c>
      <c r="D273" s="25" t="s">
        <v>162</v>
      </c>
      <c r="E273" s="25" t="s">
        <v>100</v>
      </c>
      <c r="F273" s="81">
        <v>186629.6</v>
      </c>
      <c r="G273" s="508"/>
      <c r="H273" s="509">
        <f t="shared" si="4"/>
        <v>186629.6</v>
      </c>
    </row>
    <row r="274" spans="1:8">
      <c r="A274" s="25" t="s">
        <v>730</v>
      </c>
      <c r="B274" s="25" t="s">
        <v>731</v>
      </c>
      <c r="C274" s="25" t="s">
        <v>156</v>
      </c>
      <c r="D274" s="25" t="s">
        <v>162</v>
      </c>
      <c r="E274" s="25" t="s">
        <v>100</v>
      </c>
      <c r="F274" s="81">
        <v>0</v>
      </c>
      <c r="G274" s="508"/>
      <c r="H274" s="97">
        <f t="shared" si="4"/>
        <v>0</v>
      </c>
    </row>
    <row r="275" spans="1:8">
      <c r="A275" s="25" t="s">
        <v>732</v>
      </c>
      <c r="B275" s="25" t="s">
        <v>733</v>
      </c>
      <c r="C275" s="25" t="s">
        <v>156</v>
      </c>
      <c r="D275" s="25" t="s">
        <v>162</v>
      </c>
      <c r="E275" s="25" t="s">
        <v>100</v>
      </c>
      <c r="F275" s="81">
        <v>779737.13</v>
      </c>
      <c r="G275" s="508"/>
      <c r="H275" s="97">
        <f t="shared" si="4"/>
        <v>779737.13</v>
      </c>
    </row>
    <row r="276" spans="1:8">
      <c r="A276" s="25" t="s">
        <v>734</v>
      </c>
      <c r="B276" s="25" t="s">
        <v>735</v>
      </c>
      <c r="C276" s="25" t="s">
        <v>156</v>
      </c>
      <c r="D276" s="25" t="s">
        <v>162</v>
      </c>
      <c r="E276" s="25" t="s">
        <v>100</v>
      </c>
      <c r="F276" s="81">
        <v>42650.25</v>
      </c>
      <c r="G276" s="508"/>
      <c r="H276" s="97">
        <f t="shared" si="4"/>
        <v>42650.25</v>
      </c>
    </row>
    <row r="277" spans="1:8">
      <c r="A277" s="25" t="s">
        <v>736</v>
      </c>
      <c r="B277" s="25" t="s">
        <v>737</v>
      </c>
      <c r="C277" s="25" t="s">
        <v>156</v>
      </c>
      <c r="D277" s="25" t="s">
        <v>162</v>
      </c>
      <c r="E277" s="25" t="s">
        <v>100</v>
      </c>
      <c r="F277" s="81">
        <v>5016.8</v>
      </c>
      <c r="G277" s="508"/>
      <c r="H277" s="97">
        <f t="shared" si="4"/>
        <v>5016.8</v>
      </c>
    </row>
    <row r="278" spans="1:8">
      <c r="A278" s="25" t="s">
        <v>738</v>
      </c>
      <c r="B278" s="25" t="s">
        <v>739</v>
      </c>
      <c r="C278" s="25" t="s">
        <v>156</v>
      </c>
      <c r="D278" s="25" t="s">
        <v>162</v>
      </c>
      <c r="E278" s="25" t="s">
        <v>100</v>
      </c>
      <c r="F278" s="81">
        <v>0</v>
      </c>
      <c r="G278" s="508"/>
      <c r="H278" s="97">
        <f t="shared" si="4"/>
        <v>0</v>
      </c>
    </row>
    <row r="279" spans="1:8">
      <c r="A279" s="25" t="s">
        <v>740</v>
      </c>
      <c r="B279" s="25" t="s">
        <v>741</v>
      </c>
      <c r="C279" s="25" t="s">
        <v>156</v>
      </c>
      <c r="D279" s="25" t="s">
        <v>162</v>
      </c>
      <c r="E279" s="25" t="s">
        <v>100</v>
      </c>
      <c r="F279" s="81">
        <v>-6947.17</v>
      </c>
      <c r="G279" s="508"/>
      <c r="H279" s="97">
        <f t="shared" si="4"/>
        <v>-6947.17</v>
      </c>
    </row>
    <row r="280" spans="1:8">
      <c r="A280" s="25" t="s">
        <v>742</v>
      </c>
      <c r="B280" s="25" t="s">
        <v>743</v>
      </c>
      <c r="C280" s="25" t="s">
        <v>156</v>
      </c>
      <c r="D280" s="25" t="s">
        <v>162</v>
      </c>
      <c r="E280" s="25" t="s">
        <v>100</v>
      </c>
      <c r="F280" s="81">
        <v>999</v>
      </c>
      <c r="G280" s="508"/>
      <c r="H280" s="97">
        <f t="shared" si="4"/>
        <v>999</v>
      </c>
    </row>
    <row r="281" spans="1:8">
      <c r="A281" s="25" t="s">
        <v>744</v>
      </c>
      <c r="B281" s="25" t="s">
        <v>536</v>
      </c>
      <c r="C281" s="25" t="s">
        <v>156</v>
      </c>
      <c r="D281" s="25" t="s">
        <v>162</v>
      </c>
      <c r="E281" s="25" t="s">
        <v>100</v>
      </c>
      <c r="F281" s="81">
        <v>23269.58</v>
      </c>
      <c r="G281" s="508"/>
      <c r="H281" s="97">
        <f t="shared" si="4"/>
        <v>23269.58</v>
      </c>
    </row>
    <row r="282" spans="1:8">
      <c r="A282" s="25" t="s">
        <v>745</v>
      </c>
      <c r="B282" s="25" t="s">
        <v>2200</v>
      </c>
      <c r="C282" s="25" t="s">
        <v>156</v>
      </c>
      <c r="D282" s="25" t="s">
        <v>162</v>
      </c>
      <c r="E282" s="25" t="s">
        <v>100</v>
      </c>
      <c r="F282" s="81">
        <v>0</v>
      </c>
      <c r="G282" s="508"/>
      <c r="H282" s="509">
        <f t="shared" si="4"/>
        <v>0</v>
      </c>
    </row>
    <row r="283" spans="1:8">
      <c r="A283" s="25" t="s">
        <v>747</v>
      </c>
      <c r="B283" s="25" t="s">
        <v>748</v>
      </c>
      <c r="C283" s="25" t="s">
        <v>156</v>
      </c>
      <c r="D283" s="25" t="s">
        <v>162</v>
      </c>
      <c r="E283" s="25" t="s">
        <v>100</v>
      </c>
      <c r="F283" s="81">
        <v>126000</v>
      </c>
      <c r="G283" s="508"/>
      <c r="H283" s="97">
        <f t="shared" si="4"/>
        <v>126000</v>
      </c>
    </row>
    <row r="284" spans="1:8">
      <c r="A284" s="25" t="s">
        <v>749</v>
      </c>
      <c r="B284" s="25" t="s">
        <v>2201</v>
      </c>
      <c r="C284" s="25" t="s">
        <v>156</v>
      </c>
      <c r="D284" s="25" t="s">
        <v>162</v>
      </c>
      <c r="E284" s="25" t="s">
        <v>100</v>
      </c>
      <c r="F284" s="81">
        <v>7031.25</v>
      </c>
      <c r="G284" s="508">
        <v>12250</v>
      </c>
      <c r="H284" s="97">
        <f>F284+G284</f>
        <v>19281.25</v>
      </c>
    </row>
    <row r="285" spans="1:8">
      <c r="A285" s="25" t="s">
        <v>751</v>
      </c>
      <c r="B285" s="25" t="s">
        <v>752</v>
      </c>
      <c r="C285" s="25" t="s">
        <v>156</v>
      </c>
      <c r="D285" s="25" t="s">
        <v>162</v>
      </c>
      <c r="E285" s="25" t="s">
        <v>100</v>
      </c>
      <c r="F285" s="81">
        <v>9472.5</v>
      </c>
      <c r="G285" s="508">
        <v>36677.22</v>
      </c>
      <c r="H285" s="97">
        <f>SUM(F285:G285)</f>
        <v>46149.72</v>
      </c>
    </row>
    <row r="286" spans="1:8">
      <c r="A286" s="25" t="s">
        <v>753</v>
      </c>
      <c r="B286" s="25" t="s">
        <v>220</v>
      </c>
      <c r="C286" s="25" t="s">
        <v>156</v>
      </c>
      <c r="D286" s="25" t="s">
        <v>162</v>
      </c>
      <c r="E286" s="25" t="s">
        <v>100</v>
      </c>
      <c r="F286" s="81">
        <v>48901.85</v>
      </c>
      <c r="G286" s="508">
        <v>-36677.22</v>
      </c>
      <c r="H286" s="509">
        <f>F286+G286</f>
        <v>12224.629999999997</v>
      </c>
    </row>
    <row r="287" spans="1:8">
      <c r="A287" s="25" t="s">
        <v>754</v>
      </c>
      <c r="B287" s="25" t="s">
        <v>755</v>
      </c>
      <c r="C287" s="25" t="s">
        <v>156</v>
      </c>
      <c r="D287" s="25" t="s">
        <v>162</v>
      </c>
      <c r="E287" s="25" t="s">
        <v>100</v>
      </c>
      <c r="F287" s="81">
        <v>-134.63</v>
      </c>
      <c r="G287" s="508"/>
      <c r="H287" s="509">
        <f t="shared" si="4"/>
        <v>-134.63</v>
      </c>
    </row>
    <row r="288" spans="1:8">
      <c r="A288" s="25" t="s">
        <v>756</v>
      </c>
      <c r="B288" s="25" t="s">
        <v>757</v>
      </c>
      <c r="C288" s="25" t="s">
        <v>156</v>
      </c>
      <c r="D288" s="25" t="s">
        <v>162</v>
      </c>
      <c r="E288" s="25" t="s">
        <v>100</v>
      </c>
      <c r="F288" s="81">
        <v>0</v>
      </c>
      <c r="G288" s="508"/>
      <c r="H288" s="509">
        <f t="shared" si="4"/>
        <v>0</v>
      </c>
    </row>
    <row r="289" spans="1:8">
      <c r="A289" s="53" t="s">
        <v>758</v>
      </c>
      <c r="B289" s="53" t="s">
        <v>759</v>
      </c>
      <c r="C289" s="53" t="s">
        <v>156</v>
      </c>
      <c r="D289" s="53" t="s">
        <v>169</v>
      </c>
      <c r="E289" s="53" t="s">
        <v>760</v>
      </c>
      <c r="F289" s="83">
        <v>971869</v>
      </c>
      <c r="G289" s="84"/>
      <c r="H289" s="509"/>
    </row>
    <row r="290" spans="1:8">
      <c r="A290" s="53" t="s">
        <v>761</v>
      </c>
      <c r="B290" s="53" t="s">
        <v>762</v>
      </c>
      <c r="C290" s="53" t="s">
        <v>156</v>
      </c>
      <c r="D290" s="53" t="s">
        <v>157</v>
      </c>
      <c r="E290" s="53" t="s">
        <v>100</v>
      </c>
      <c r="F290" s="83">
        <v>0</v>
      </c>
      <c r="G290" s="84"/>
      <c r="H290" s="509"/>
    </row>
    <row r="291" spans="1:8">
      <c r="A291" s="25" t="s">
        <v>763</v>
      </c>
      <c r="B291" s="25" t="s">
        <v>764</v>
      </c>
      <c r="C291" s="25" t="s">
        <v>156</v>
      </c>
      <c r="D291" s="25" t="s">
        <v>162</v>
      </c>
      <c r="E291" s="25" t="s">
        <v>100</v>
      </c>
      <c r="F291" s="81">
        <v>256732.22</v>
      </c>
      <c r="G291" s="508"/>
      <c r="H291" s="509">
        <f t="shared" si="4"/>
        <v>256732.22</v>
      </c>
    </row>
    <row r="292" spans="1:8">
      <c r="A292" s="25" t="s">
        <v>765</v>
      </c>
      <c r="B292" s="25" t="s">
        <v>766</v>
      </c>
      <c r="C292" s="25" t="s">
        <v>156</v>
      </c>
      <c r="D292" s="25" t="s">
        <v>162</v>
      </c>
      <c r="E292" s="25" t="s">
        <v>100</v>
      </c>
      <c r="F292" s="81">
        <v>0</v>
      </c>
      <c r="G292" s="508"/>
      <c r="H292" s="509">
        <f t="shared" si="4"/>
        <v>0</v>
      </c>
    </row>
    <row r="293" spans="1:8">
      <c r="A293" s="25" t="s">
        <v>767</v>
      </c>
      <c r="B293" s="25" t="s">
        <v>768</v>
      </c>
      <c r="C293" s="25" t="s">
        <v>156</v>
      </c>
      <c r="D293" s="25" t="s">
        <v>162</v>
      </c>
      <c r="E293" s="25" t="s">
        <v>100</v>
      </c>
      <c r="F293" s="81">
        <v>98559.12</v>
      </c>
      <c r="G293" s="508"/>
      <c r="H293" s="509">
        <f t="shared" si="4"/>
        <v>98559.12</v>
      </c>
    </row>
    <row r="294" spans="1:8">
      <c r="A294" s="25" t="s">
        <v>769</v>
      </c>
      <c r="B294" s="25" t="s">
        <v>770</v>
      </c>
      <c r="C294" s="25" t="s">
        <v>156</v>
      </c>
      <c r="D294" s="25" t="s">
        <v>162</v>
      </c>
      <c r="E294" s="25" t="s">
        <v>100</v>
      </c>
      <c r="F294" s="81">
        <v>15261.61</v>
      </c>
      <c r="G294" s="508"/>
      <c r="H294" s="509">
        <f t="shared" si="4"/>
        <v>15261.61</v>
      </c>
    </row>
    <row r="295" spans="1:8">
      <c r="A295" s="25" t="s">
        <v>771</v>
      </c>
      <c r="B295" s="25" t="s">
        <v>772</v>
      </c>
      <c r="C295" s="25" t="s">
        <v>156</v>
      </c>
      <c r="D295" s="25" t="s">
        <v>162</v>
      </c>
      <c r="E295" s="25" t="s">
        <v>100</v>
      </c>
      <c r="F295" s="81">
        <v>0</v>
      </c>
      <c r="G295" s="508"/>
      <c r="H295" s="509">
        <f t="shared" si="4"/>
        <v>0</v>
      </c>
    </row>
    <row r="296" spans="1:8">
      <c r="A296" s="25" t="s">
        <v>773</v>
      </c>
      <c r="B296" s="25" t="s">
        <v>774</v>
      </c>
      <c r="C296" s="25" t="s">
        <v>156</v>
      </c>
      <c r="D296" s="25" t="s">
        <v>162</v>
      </c>
      <c r="E296" s="25" t="s">
        <v>100</v>
      </c>
      <c r="F296" s="81">
        <v>1784.96</v>
      </c>
      <c r="G296" s="508"/>
      <c r="H296" s="509">
        <f t="shared" si="4"/>
        <v>1784.96</v>
      </c>
    </row>
    <row r="297" spans="1:8">
      <c r="A297" s="53" t="s">
        <v>775</v>
      </c>
      <c r="B297" s="53" t="s">
        <v>776</v>
      </c>
      <c r="C297" s="53" t="s">
        <v>156</v>
      </c>
      <c r="D297" s="53" t="s">
        <v>169</v>
      </c>
      <c r="E297" s="53" t="s">
        <v>777</v>
      </c>
      <c r="F297" s="83">
        <v>372337.91</v>
      </c>
      <c r="G297" s="84"/>
      <c r="H297" s="509"/>
    </row>
    <row r="298" spans="1:8">
      <c r="A298" s="53" t="s">
        <v>778</v>
      </c>
      <c r="B298" s="53" t="s">
        <v>779</v>
      </c>
      <c r="C298" s="53" t="s">
        <v>156</v>
      </c>
      <c r="D298" s="53" t="s">
        <v>157</v>
      </c>
      <c r="E298" s="53" t="s">
        <v>100</v>
      </c>
      <c r="F298" s="83">
        <v>0</v>
      </c>
      <c r="G298" s="84"/>
      <c r="H298" s="509"/>
    </row>
    <row r="299" spans="1:8">
      <c r="A299" s="25" t="s">
        <v>780</v>
      </c>
      <c r="B299" s="25" t="s">
        <v>781</v>
      </c>
      <c r="C299" s="25" t="s">
        <v>156</v>
      </c>
      <c r="D299" s="25" t="s">
        <v>162</v>
      </c>
      <c r="E299" s="25" t="s">
        <v>100</v>
      </c>
      <c r="F299" s="81">
        <v>125928.1</v>
      </c>
      <c r="G299" s="508"/>
      <c r="H299" s="509">
        <f t="shared" si="4"/>
        <v>125928.1</v>
      </c>
    </row>
    <row r="300" spans="1:8">
      <c r="A300" s="25" t="s">
        <v>782</v>
      </c>
      <c r="B300" s="25" t="s">
        <v>446</v>
      </c>
      <c r="C300" s="25" t="s">
        <v>156</v>
      </c>
      <c r="D300" s="25" t="s">
        <v>162</v>
      </c>
      <c r="E300" s="25" t="s">
        <v>100</v>
      </c>
      <c r="F300" s="81">
        <v>66795.839999999997</v>
      </c>
      <c r="G300" s="508"/>
      <c r="H300" s="509">
        <f t="shared" si="4"/>
        <v>66795.839999999997</v>
      </c>
    </row>
    <row r="301" spans="1:8">
      <c r="A301" s="25" t="s">
        <v>783</v>
      </c>
      <c r="B301" s="25" t="s">
        <v>784</v>
      </c>
      <c r="C301" s="25" t="s">
        <v>156</v>
      </c>
      <c r="D301" s="25" t="s">
        <v>162</v>
      </c>
      <c r="E301" s="25" t="s">
        <v>100</v>
      </c>
      <c r="F301" s="81">
        <v>0</v>
      </c>
      <c r="G301" s="508"/>
      <c r="H301" s="509">
        <f t="shared" si="4"/>
        <v>0</v>
      </c>
    </row>
    <row r="302" spans="1:8">
      <c r="A302" s="53" t="s">
        <v>785</v>
      </c>
      <c r="B302" s="53" t="s">
        <v>786</v>
      </c>
      <c r="C302" s="53" t="s">
        <v>156</v>
      </c>
      <c r="D302" s="53" t="s">
        <v>169</v>
      </c>
      <c r="E302" s="53" t="s">
        <v>787</v>
      </c>
      <c r="F302" s="83">
        <v>192723.94</v>
      </c>
      <c r="G302" s="84"/>
      <c r="H302" s="509"/>
    </row>
    <row r="303" spans="1:8">
      <c r="A303" s="53" t="s">
        <v>788</v>
      </c>
      <c r="B303" s="53" t="s">
        <v>789</v>
      </c>
      <c r="C303" s="53" t="s">
        <v>156</v>
      </c>
      <c r="D303" s="53" t="s">
        <v>157</v>
      </c>
      <c r="E303" s="53" t="s">
        <v>100</v>
      </c>
      <c r="F303" s="83">
        <v>0</v>
      </c>
      <c r="G303" s="84"/>
      <c r="H303" s="509"/>
    </row>
    <row r="304" spans="1:8">
      <c r="A304" s="53" t="s">
        <v>790</v>
      </c>
      <c r="B304" s="53" t="s">
        <v>733</v>
      </c>
      <c r="C304" s="53" t="s">
        <v>156</v>
      </c>
      <c r="D304" s="53" t="s">
        <v>157</v>
      </c>
      <c r="E304" s="53" t="s">
        <v>100</v>
      </c>
      <c r="F304" s="83">
        <v>0</v>
      </c>
      <c r="G304" s="84"/>
      <c r="H304" s="509"/>
    </row>
    <row r="305" spans="1:8">
      <c r="A305" s="25" t="s">
        <v>791</v>
      </c>
      <c r="B305" s="25" t="s">
        <v>792</v>
      </c>
      <c r="C305" s="25" t="s">
        <v>156</v>
      </c>
      <c r="D305" s="25" t="s">
        <v>162</v>
      </c>
      <c r="E305" s="25" t="s">
        <v>100</v>
      </c>
      <c r="F305" s="81">
        <v>0</v>
      </c>
      <c r="G305" s="508"/>
      <c r="H305" s="509">
        <f t="shared" si="4"/>
        <v>0</v>
      </c>
    </row>
    <row r="306" spans="1:8">
      <c r="A306" s="25" t="s">
        <v>793</v>
      </c>
      <c r="B306" s="25" t="s">
        <v>794</v>
      </c>
      <c r="C306" s="25" t="s">
        <v>156</v>
      </c>
      <c r="D306" s="25" t="s">
        <v>162</v>
      </c>
      <c r="E306" s="25" t="s">
        <v>100</v>
      </c>
      <c r="F306" s="81">
        <v>0</v>
      </c>
      <c r="G306" s="508"/>
      <c r="H306" s="509">
        <f t="shared" si="4"/>
        <v>0</v>
      </c>
    </row>
    <row r="307" spans="1:8">
      <c r="A307" s="25" t="s">
        <v>795</v>
      </c>
      <c r="B307" s="25" t="s">
        <v>796</v>
      </c>
      <c r="C307" s="25" t="s">
        <v>156</v>
      </c>
      <c r="D307" s="25" t="s">
        <v>162</v>
      </c>
      <c r="E307" s="25" t="s">
        <v>100</v>
      </c>
      <c r="F307" s="81">
        <v>0</v>
      </c>
      <c r="G307" s="508"/>
      <c r="H307" s="509">
        <f t="shared" si="4"/>
        <v>0</v>
      </c>
    </row>
    <row r="308" spans="1:8">
      <c r="A308" s="25" t="s">
        <v>797</v>
      </c>
      <c r="B308" s="25" t="s">
        <v>798</v>
      </c>
      <c r="C308" s="25" t="s">
        <v>156</v>
      </c>
      <c r="D308" s="25" t="s">
        <v>162</v>
      </c>
      <c r="E308" s="25" t="s">
        <v>100</v>
      </c>
      <c r="F308" s="81">
        <v>0</v>
      </c>
      <c r="G308" s="508"/>
      <c r="H308" s="509">
        <f t="shared" si="4"/>
        <v>0</v>
      </c>
    </row>
    <row r="309" spans="1:8">
      <c r="A309" s="25" t="s">
        <v>799</v>
      </c>
      <c r="B309" s="25" t="s">
        <v>800</v>
      </c>
      <c r="C309" s="25" t="s">
        <v>156</v>
      </c>
      <c r="D309" s="25" t="s">
        <v>162</v>
      </c>
      <c r="E309" s="25" t="s">
        <v>100</v>
      </c>
      <c r="F309" s="81">
        <v>0</v>
      </c>
      <c r="G309" s="508"/>
      <c r="H309" s="509">
        <f t="shared" si="4"/>
        <v>0</v>
      </c>
    </row>
    <row r="310" spans="1:8">
      <c r="A310" s="25" t="s">
        <v>801</v>
      </c>
      <c r="B310" s="25" t="s">
        <v>802</v>
      </c>
      <c r="C310" s="25" t="s">
        <v>156</v>
      </c>
      <c r="D310" s="25" t="s">
        <v>162</v>
      </c>
      <c r="E310" s="25" t="s">
        <v>100</v>
      </c>
      <c r="F310" s="81">
        <v>0</v>
      </c>
      <c r="G310" s="508"/>
      <c r="H310" s="509">
        <f t="shared" si="4"/>
        <v>0</v>
      </c>
    </row>
    <row r="311" spans="1:8">
      <c r="A311" s="25" t="s">
        <v>803</v>
      </c>
      <c r="B311" s="25" t="s">
        <v>804</v>
      </c>
      <c r="C311" s="25" t="s">
        <v>156</v>
      </c>
      <c r="D311" s="25" t="s">
        <v>162</v>
      </c>
      <c r="E311" s="25" t="s">
        <v>100</v>
      </c>
      <c r="F311" s="81">
        <v>0</v>
      </c>
      <c r="G311" s="508"/>
      <c r="H311" s="509">
        <f t="shared" si="4"/>
        <v>0</v>
      </c>
    </row>
    <row r="312" spans="1:8">
      <c r="A312" s="53" t="s">
        <v>805</v>
      </c>
      <c r="B312" s="53" t="s">
        <v>806</v>
      </c>
      <c r="C312" s="53" t="s">
        <v>156</v>
      </c>
      <c r="D312" s="53" t="s">
        <v>169</v>
      </c>
      <c r="E312" s="53" t="s">
        <v>807</v>
      </c>
      <c r="F312" s="83">
        <v>0</v>
      </c>
      <c r="G312" s="84"/>
      <c r="H312" s="509"/>
    </row>
    <row r="313" spans="1:8">
      <c r="A313" s="53" t="s">
        <v>808</v>
      </c>
      <c r="B313" s="53" t="s">
        <v>735</v>
      </c>
      <c r="C313" s="53" t="s">
        <v>156</v>
      </c>
      <c r="D313" s="53" t="s">
        <v>157</v>
      </c>
      <c r="E313" s="53" t="s">
        <v>100</v>
      </c>
      <c r="F313" s="83">
        <v>0</v>
      </c>
      <c r="G313" s="84"/>
      <c r="H313" s="509"/>
    </row>
    <row r="314" spans="1:8">
      <c r="A314" s="25" t="s">
        <v>809</v>
      </c>
      <c r="B314" s="25" t="s">
        <v>735</v>
      </c>
      <c r="C314" s="25" t="s">
        <v>156</v>
      </c>
      <c r="D314" s="25" t="s">
        <v>162</v>
      </c>
      <c r="E314" s="25" t="s">
        <v>100</v>
      </c>
      <c r="F314" s="81">
        <v>0</v>
      </c>
      <c r="G314" s="508"/>
      <c r="H314" s="509">
        <f t="shared" si="4"/>
        <v>0</v>
      </c>
    </row>
    <row r="315" spans="1:8">
      <c r="A315" s="53" t="s">
        <v>810</v>
      </c>
      <c r="B315" s="53" t="s">
        <v>811</v>
      </c>
      <c r="C315" s="53" t="s">
        <v>156</v>
      </c>
      <c r="D315" s="53" t="s">
        <v>169</v>
      </c>
      <c r="E315" s="53" t="s">
        <v>812</v>
      </c>
      <c r="F315" s="83">
        <v>0</v>
      </c>
      <c r="G315" s="84"/>
      <c r="H315" s="509"/>
    </row>
    <row r="316" spans="1:8">
      <c r="A316" s="53" t="s">
        <v>813</v>
      </c>
      <c r="B316" s="53" t="s">
        <v>814</v>
      </c>
      <c r="C316" s="53" t="s">
        <v>156</v>
      </c>
      <c r="D316" s="53" t="s">
        <v>169</v>
      </c>
      <c r="E316" s="53" t="s">
        <v>815</v>
      </c>
      <c r="F316" s="83">
        <v>0</v>
      </c>
      <c r="G316" s="84"/>
      <c r="H316" s="509"/>
    </row>
    <row r="317" spans="1:8">
      <c r="A317" s="53" t="s">
        <v>816</v>
      </c>
      <c r="B317" s="53" t="s">
        <v>817</v>
      </c>
      <c r="C317" s="53" t="s">
        <v>156</v>
      </c>
      <c r="D317" s="53" t="s">
        <v>157</v>
      </c>
      <c r="E317" s="53" t="s">
        <v>100</v>
      </c>
      <c r="F317" s="83">
        <v>0</v>
      </c>
      <c r="G317" s="84"/>
      <c r="H317" s="509"/>
    </row>
    <row r="318" spans="1:8">
      <c r="A318" s="25" t="s">
        <v>818</v>
      </c>
      <c r="B318" s="25" t="s">
        <v>819</v>
      </c>
      <c r="C318" s="25" t="s">
        <v>156</v>
      </c>
      <c r="D318" s="25" t="s">
        <v>162</v>
      </c>
      <c r="E318" s="25" t="s">
        <v>100</v>
      </c>
      <c r="F318" s="81">
        <v>50000</v>
      </c>
      <c r="G318" s="508"/>
      <c r="H318" s="509">
        <f t="shared" si="4"/>
        <v>50000</v>
      </c>
    </row>
    <row r="319" spans="1:8">
      <c r="A319" s="53" t="s">
        <v>820</v>
      </c>
      <c r="B319" s="53" t="s">
        <v>821</v>
      </c>
      <c r="C319" s="53" t="s">
        <v>156</v>
      </c>
      <c r="D319" s="53" t="s">
        <v>169</v>
      </c>
      <c r="E319" s="53" t="s">
        <v>822</v>
      </c>
      <c r="F319" s="83">
        <v>50000</v>
      </c>
      <c r="G319" s="84"/>
      <c r="H319" s="509"/>
    </row>
    <row r="320" spans="1:8">
      <c r="A320" s="53" t="s">
        <v>823</v>
      </c>
      <c r="B320" s="53" t="s">
        <v>824</v>
      </c>
      <c r="C320" s="53" t="s">
        <v>156</v>
      </c>
      <c r="D320" s="53" t="s">
        <v>157</v>
      </c>
      <c r="E320" s="53" t="s">
        <v>100</v>
      </c>
      <c r="F320" s="83">
        <v>0</v>
      </c>
      <c r="G320" s="84"/>
      <c r="H320" s="509"/>
    </row>
    <row r="321" spans="1:8">
      <c r="A321" s="25" t="s">
        <v>825</v>
      </c>
      <c r="B321" s="25" t="s">
        <v>826</v>
      </c>
      <c r="C321" s="25" t="s">
        <v>156</v>
      </c>
      <c r="D321" s="25" t="s">
        <v>162</v>
      </c>
      <c r="E321" s="25" t="s">
        <v>100</v>
      </c>
      <c r="F321" s="81">
        <v>61069.94</v>
      </c>
      <c r="G321" s="508"/>
      <c r="H321" s="509">
        <f t="shared" si="4"/>
        <v>61069.94</v>
      </c>
    </row>
    <row r="322" spans="1:8">
      <c r="A322" s="53" t="s">
        <v>827</v>
      </c>
      <c r="B322" s="53" t="s">
        <v>828</v>
      </c>
      <c r="C322" s="53" t="s">
        <v>156</v>
      </c>
      <c r="D322" s="53" t="s">
        <v>169</v>
      </c>
      <c r="E322" s="53" t="s">
        <v>829</v>
      </c>
      <c r="F322" s="83">
        <v>61069.94</v>
      </c>
      <c r="G322" s="84"/>
      <c r="H322" s="509"/>
    </row>
    <row r="323" spans="1:8">
      <c r="A323" s="53" t="s">
        <v>830</v>
      </c>
      <c r="B323" s="53" t="s">
        <v>831</v>
      </c>
      <c r="C323" s="53" t="s">
        <v>156</v>
      </c>
      <c r="D323" s="53" t="s">
        <v>169</v>
      </c>
      <c r="E323" s="53" t="s">
        <v>832</v>
      </c>
      <c r="F323" s="83">
        <v>1648000.79</v>
      </c>
      <c r="G323" s="84"/>
      <c r="H323" s="509"/>
    </row>
    <row r="324" spans="1:8">
      <c r="A324" s="53" t="s">
        <v>833</v>
      </c>
      <c r="B324" s="53" t="s">
        <v>97</v>
      </c>
      <c r="C324" s="53" t="s">
        <v>156</v>
      </c>
      <c r="D324" s="53" t="s">
        <v>157</v>
      </c>
      <c r="E324" s="53" t="s">
        <v>100</v>
      </c>
      <c r="F324" s="83">
        <v>0</v>
      </c>
      <c r="G324" s="84"/>
      <c r="H324" s="509"/>
    </row>
    <row r="325" spans="1:8">
      <c r="A325" s="25" t="s">
        <v>834</v>
      </c>
      <c r="B325" s="25" t="s">
        <v>835</v>
      </c>
      <c r="C325" s="25" t="s">
        <v>156</v>
      </c>
      <c r="D325" s="25" t="s">
        <v>162</v>
      </c>
      <c r="E325" s="25" t="s">
        <v>100</v>
      </c>
      <c r="F325" s="81">
        <v>945.9</v>
      </c>
      <c r="G325" s="508"/>
      <c r="H325" s="509">
        <f t="shared" si="4"/>
        <v>945.9</v>
      </c>
    </row>
    <row r="326" spans="1:8">
      <c r="A326" s="25" t="s">
        <v>836</v>
      </c>
      <c r="B326" s="25" t="s">
        <v>837</v>
      </c>
      <c r="C326" s="25" t="s">
        <v>156</v>
      </c>
      <c r="D326" s="25" t="s">
        <v>162</v>
      </c>
      <c r="E326" s="25" t="s">
        <v>100</v>
      </c>
      <c r="F326" s="81">
        <v>35262.660000000003</v>
      </c>
      <c r="G326" s="508"/>
      <c r="H326" s="509">
        <f t="shared" ref="H326:H336" si="5">F326</f>
        <v>35262.660000000003</v>
      </c>
    </row>
    <row r="327" spans="1:8">
      <c r="A327" s="53" t="s">
        <v>838</v>
      </c>
      <c r="B327" s="53" t="s">
        <v>839</v>
      </c>
      <c r="C327" s="53" t="s">
        <v>156</v>
      </c>
      <c r="D327" s="53" t="s">
        <v>169</v>
      </c>
      <c r="E327" s="53" t="s">
        <v>840</v>
      </c>
      <c r="F327" s="83">
        <v>36208.559999999998</v>
      </c>
      <c r="G327" s="84"/>
      <c r="H327" s="509"/>
    </row>
    <row r="328" spans="1:8">
      <c r="A328" s="53" t="s">
        <v>841</v>
      </c>
      <c r="B328" s="53" t="s">
        <v>842</v>
      </c>
      <c r="C328" s="53" t="s">
        <v>156</v>
      </c>
      <c r="D328" s="53" t="s">
        <v>169</v>
      </c>
      <c r="E328" s="53" t="s">
        <v>843</v>
      </c>
      <c r="F328" s="83">
        <v>15623985.65</v>
      </c>
      <c r="G328" s="84"/>
      <c r="H328" s="509"/>
    </row>
    <row r="329" spans="1:8">
      <c r="A329" s="53" t="s">
        <v>844</v>
      </c>
      <c r="B329" s="53" t="s">
        <v>845</v>
      </c>
      <c r="C329" s="53" t="s">
        <v>156</v>
      </c>
      <c r="D329" s="53" t="s">
        <v>157</v>
      </c>
      <c r="E329" s="53" t="s">
        <v>100</v>
      </c>
      <c r="F329" s="83">
        <v>0</v>
      </c>
      <c r="G329" s="84"/>
      <c r="H329" s="509"/>
    </row>
    <row r="330" spans="1:8">
      <c r="A330" s="25" t="s">
        <v>846</v>
      </c>
      <c r="B330" s="25" t="s">
        <v>847</v>
      </c>
      <c r="C330" s="25" t="s">
        <v>156</v>
      </c>
      <c r="D330" s="25" t="s">
        <v>162</v>
      </c>
      <c r="E330" s="25" t="s">
        <v>100</v>
      </c>
      <c r="F330" s="81">
        <v>468560.68</v>
      </c>
      <c r="G330" s="508">
        <v>2046</v>
      </c>
      <c r="H330" s="509">
        <f>+F330+G330</f>
        <v>470606.68</v>
      </c>
    </row>
    <row r="331" spans="1:8">
      <c r="A331" s="25" t="s">
        <v>848</v>
      </c>
      <c r="B331" s="25" t="s">
        <v>849</v>
      </c>
      <c r="C331" s="25" t="s">
        <v>156</v>
      </c>
      <c r="D331" s="25" t="s">
        <v>162</v>
      </c>
      <c r="E331" s="25" t="s">
        <v>100</v>
      </c>
      <c r="F331" s="81">
        <v>0</v>
      </c>
      <c r="G331" s="508"/>
      <c r="H331" s="509">
        <f t="shared" si="5"/>
        <v>0</v>
      </c>
    </row>
    <row r="332" spans="1:8">
      <c r="A332" s="53" t="s">
        <v>850</v>
      </c>
      <c r="B332" s="53" t="s">
        <v>851</v>
      </c>
      <c r="C332" s="53" t="s">
        <v>156</v>
      </c>
      <c r="D332" s="53" t="s">
        <v>169</v>
      </c>
      <c r="E332" s="53" t="s">
        <v>852</v>
      </c>
      <c r="F332" s="83">
        <v>468560.68</v>
      </c>
      <c r="G332" s="84"/>
      <c r="H332" s="509"/>
    </row>
    <row r="333" spans="1:8">
      <c r="A333" s="53" t="s">
        <v>853</v>
      </c>
      <c r="B333" s="53" t="s">
        <v>854</v>
      </c>
      <c r="C333" s="53" t="s">
        <v>156</v>
      </c>
      <c r="D333" s="53" t="s">
        <v>157</v>
      </c>
      <c r="E333" s="53" t="s">
        <v>100</v>
      </c>
      <c r="F333" s="83">
        <v>0</v>
      </c>
      <c r="G333" s="84"/>
      <c r="H333" s="509"/>
    </row>
    <row r="334" spans="1:8">
      <c r="A334" s="25" t="s">
        <v>855</v>
      </c>
      <c r="B334" s="25" t="s">
        <v>856</v>
      </c>
      <c r="C334" s="25" t="s">
        <v>156</v>
      </c>
      <c r="D334" s="25" t="s">
        <v>162</v>
      </c>
      <c r="E334" s="25" t="s">
        <v>100</v>
      </c>
      <c r="F334" s="81">
        <v>0</v>
      </c>
      <c r="G334" s="508"/>
      <c r="H334" s="509">
        <f t="shared" si="5"/>
        <v>0</v>
      </c>
    </row>
    <row r="335" spans="1:8">
      <c r="A335" s="25" t="s">
        <v>857</v>
      </c>
      <c r="B335" s="25" t="s">
        <v>2170</v>
      </c>
      <c r="C335" s="25" t="s">
        <v>156</v>
      </c>
      <c r="D335" s="25" t="s">
        <v>162</v>
      </c>
      <c r="E335" s="25" t="s">
        <v>100</v>
      </c>
      <c r="F335" s="81">
        <v>0</v>
      </c>
      <c r="G335" s="508"/>
      <c r="H335" s="509">
        <f t="shared" si="5"/>
        <v>0</v>
      </c>
    </row>
    <row r="336" spans="1:8">
      <c r="A336" s="25" t="s">
        <v>859</v>
      </c>
      <c r="B336" s="25" t="s">
        <v>860</v>
      </c>
      <c r="C336" s="25" t="s">
        <v>156</v>
      </c>
      <c r="D336" s="25" t="s">
        <v>162</v>
      </c>
      <c r="E336" s="25" t="s">
        <v>100</v>
      </c>
      <c r="F336" s="81">
        <v>0</v>
      </c>
      <c r="G336" s="508"/>
      <c r="H336" s="509">
        <f t="shared" si="5"/>
        <v>0</v>
      </c>
    </row>
    <row r="337" spans="1:9">
      <c r="A337" s="53" t="s">
        <v>861</v>
      </c>
      <c r="B337" s="53" t="s">
        <v>862</v>
      </c>
      <c r="C337" s="53" t="s">
        <v>156</v>
      </c>
      <c r="D337" s="53" t="s">
        <v>598</v>
      </c>
      <c r="E337" s="53" t="s">
        <v>863</v>
      </c>
      <c r="F337" s="83">
        <v>468560.68</v>
      </c>
      <c r="G337" s="84"/>
      <c r="H337" s="509"/>
      <c r="I337" s="90"/>
    </row>
    <row r="338" spans="1:9">
      <c r="A338" s="53" t="s">
        <v>864</v>
      </c>
      <c r="B338" s="53" t="s">
        <v>865</v>
      </c>
      <c r="C338" s="53" t="s">
        <v>156</v>
      </c>
      <c r="D338" s="53" t="s">
        <v>598</v>
      </c>
      <c r="E338" s="53" t="s">
        <v>866</v>
      </c>
      <c r="F338" s="83">
        <v>16092546.33</v>
      </c>
      <c r="G338" s="84"/>
      <c r="H338" s="509"/>
      <c r="I338" s="90"/>
    </row>
    <row r="339" spans="1:9">
      <c r="A339" s="53" t="s">
        <v>867</v>
      </c>
      <c r="B339" s="53" t="s">
        <v>868</v>
      </c>
      <c r="C339" s="53" t="s">
        <v>156</v>
      </c>
      <c r="D339" s="53" t="s">
        <v>598</v>
      </c>
      <c r="E339" s="53" t="s">
        <v>869</v>
      </c>
      <c r="F339" s="83">
        <v>49397.85</v>
      </c>
      <c r="G339" s="84"/>
      <c r="H339" s="509"/>
      <c r="I339" s="90">
        <f>SUM(G3:G339)</f>
        <v>-662424.49000000011</v>
      </c>
    </row>
    <row r="340" spans="1:9">
      <c r="A340" s="53" t="s">
        <v>870</v>
      </c>
      <c r="B340" s="53" t="s">
        <v>871</v>
      </c>
      <c r="C340" s="53" t="s">
        <v>872</v>
      </c>
      <c r="D340" s="53" t="s">
        <v>157</v>
      </c>
      <c r="E340" s="53" t="s">
        <v>100</v>
      </c>
      <c r="F340" s="85">
        <v>0</v>
      </c>
      <c r="G340" s="86"/>
      <c r="H340" s="89"/>
      <c r="I340" s="90"/>
    </row>
    <row r="341" spans="1:9">
      <c r="A341" s="53" t="s">
        <v>873</v>
      </c>
      <c r="B341" s="53" t="s">
        <v>874</v>
      </c>
      <c r="C341" s="53" t="s">
        <v>872</v>
      </c>
      <c r="D341" s="53" t="s">
        <v>157</v>
      </c>
      <c r="E341" s="53" t="s">
        <v>100</v>
      </c>
      <c r="F341" s="85">
        <v>0</v>
      </c>
      <c r="G341" s="86"/>
      <c r="H341" s="89"/>
      <c r="I341" s="90"/>
    </row>
    <row r="342" spans="1:9">
      <c r="A342" s="53" t="s">
        <v>875</v>
      </c>
      <c r="B342" s="53" t="s">
        <v>876</v>
      </c>
      <c r="C342" s="53" t="s">
        <v>872</v>
      </c>
      <c r="D342" s="53" t="s">
        <v>157</v>
      </c>
      <c r="E342" s="53" t="s">
        <v>100</v>
      </c>
      <c r="F342" s="85">
        <v>0</v>
      </c>
      <c r="G342" s="86"/>
      <c r="H342" s="89"/>
      <c r="I342" s="90"/>
    </row>
    <row r="343" spans="1:9">
      <c r="A343" s="25" t="s">
        <v>877</v>
      </c>
      <c r="B343" s="25" t="s">
        <v>878</v>
      </c>
      <c r="C343" s="25" t="s">
        <v>872</v>
      </c>
      <c r="D343" s="25" t="s">
        <v>162</v>
      </c>
      <c r="E343" s="25" t="s">
        <v>100</v>
      </c>
      <c r="F343" s="82">
        <v>28500000</v>
      </c>
      <c r="G343" s="100"/>
      <c r="H343" s="510">
        <f>F343</f>
        <v>28500000</v>
      </c>
      <c r="I343" s="90"/>
    </row>
    <row r="344" spans="1:9">
      <c r="A344" s="25" t="s">
        <v>879</v>
      </c>
      <c r="B344" s="25" t="s">
        <v>880</v>
      </c>
      <c r="C344" s="25" t="s">
        <v>872</v>
      </c>
      <c r="D344" s="25" t="s">
        <v>162</v>
      </c>
      <c r="E344" s="25" t="s">
        <v>100</v>
      </c>
      <c r="F344" s="82">
        <v>20794600</v>
      </c>
      <c r="G344" s="100">
        <v>1312800</v>
      </c>
      <c r="H344" s="510">
        <f>F344+G344</f>
        <v>22107400</v>
      </c>
      <c r="I344" s="90"/>
    </row>
    <row r="345" spans="1:9">
      <c r="A345" s="25" t="s">
        <v>881</v>
      </c>
      <c r="B345" s="25" t="s">
        <v>882</v>
      </c>
      <c r="C345" s="25" t="s">
        <v>872</v>
      </c>
      <c r="D345" s="25" t="s">
        <v>162</v>
      </c>
      <c r="E345" s="25" t="s">
        <v>100</v>
      </c>
      <c r="F345" s="82">
        <v>4050000</v>
      </c>
      <c r="G345" s="100"/>
      <c r="H345" s="510">
        <f t="shared" ref="H345:H401" si="6">F345</f>
        <v>4050000</v>
      </c>
      <c r="I345" s="90"/>
    </row>
    <row r="346" spans="1:9">
      <c r="A346" s="25" t="s">
        <v>883</v>
      </c>
      <c r="B346" s="25" t="s">
        <v>884</v>
      </c>
      <c r="C346" s="25" t="s">
        <v>872</v>
      </c>
      <c r="D346" s="25" t="s">
        <v>162</v>
      </c>
      <c r="E346" s="25" t="s">
        <v>100</v>
      </c>
      <c r="F346" s="82">
        <v>110519</v>
      </c>
      <c r="G346" s="100"/>
      <c r="H346" s="510">
        <f t="shared" si="6"/>
        <v>110519</v>
      </c>
      <c r="I346" s="90"/>
    </row>
    <row r="347" spans="1:9">
      <c r="A347" s="25" t="s">
        <v>885</v>
      </c>
      <c r="B347" s="25" t="s">
        <v>886</v>
      </c>
      <c r="C347" s="25" t="s">
        <v>872</v>
      </c>
      <c r="D347" s="25" t="s">
        <v>162</v>
      </c>
      <c r="E347" s="25" t="s">
        <v>100</v>
      </c>
      <c r="F347" s="82">
        <v>140400</v>
      </c>
      <c r="G347" s="100"/>
      <c r="H347" s="510">
        <f t="shared" si="6"/>
        <v>140400</v>
      </c>
      <c r="I347" s="90"/>
    </row>
    <row r="348" spans="1:9">
      <c r="A348" s="25" t="s">
        <v>887</v>
      </c>
      <c r="B348" s="25" t="s">
        <v>888</v>
      </c>
      <c r="C348" s="25" t="s">
        <v>872</v>
      </c>
      <c r="D348" s="25" t="s">
        <v>162</v>
      </c>
      <c r="E348" s="25" t="s">
        <v>100</v>
      </c>
      <c r="F348" s="82">
        <v>200000</v>
      </c>
      <c r="G348" s="100"/>
      <c r="H348" s="510">
        <f t="shared" si="6"/>
        <v>200000</v>
      </c>
      <c r="I348" s="90"/>
    </row>
    <row r="349" spans="1:9">
      <c r="A349" s="53" t="s">
        <v>889</v>
      </c>
      <c r="B349" s="53" t="s">
        <v>890</v>
      </c>
      <c r="C349" s="53" t="s">
        <v>872</v>
      </c>
      <c r="D349" s="53" t="s">
        <v>169</v>
      </c>
      <c r="E349" s="53" t="s">
        <v>891</v>
      </c>
      <c r="F349" s="85">
        <v>53795519</v>
      </c>
      <c r="G349" s="86"/>
      <c r="H349" s="510"/>
      <c r="I349" s="90"/>
    </row>
    <row r="350" spans="1:9">
      <c r="A350" s="53" t="s">
        <v>892</v>
      </c>
      <c r="B350" s="53" t="s">
        <v>893</v>
      </c>
      <c r="C350" s="53" t="s">
        <v>872</v>
      </c>
      <c r="D350" s="53" t="s">
        <v>157</v>
      </c>
      <c r="E350" s="53" t="s">
        <v>100</v>
      </c>
      <c r="F350" s="85">
        <v>0</v>
      </c>
      <c r="G350" s="86"/>
      <c r="H350" s="510"/>
      <c r="I350" s="90"/>
    </row>
    <row r="351" spans="1:9">
      <c r="A351" s="25" t="s">
        <v>894</v>
      </c>
      <c r="B351" s="25" t="s">
        <v>895</v>
      </c>
      <c r="C351" s="25" t="s">
        <v>872</v>
      </c>
      <c r="D351" s="25" t="s">
        <v>162</v>
      </c>
      <c r="E351" s="25" t="s">
        <v>100</v>
      </c>
      <c r="F351" s="82">
        <v>0</v>
      </c>
      <c r="G351" s="100"/>
      <c r="H351" s="510">
        <f t="shared" si="6"/>
        <v>0</v>
      </c>
      <c r="I351" s="90"/>
    </row>
    <row r="352" spans="1:9">
      <c r="A352" s="53" t="s">
        <v>896</v>
      </c>
      <c r="B352" s="53" t="s">
        <v>897</v>
      </c>
      <c r="C352" s="53" t="s">
        <v>872</v>
      </c>
      <c r="D352" s="53" t="s">
        <v>169</v>
      </c>
      <c r="E352" s="53" t="s">
        <v>898</v>
      </c>
      <c r="F352" s="85">
        <v>0</v>
      </c>
      <c r="G352" s="86"/>
      <c r="H352" s="510"/>
      <c r="I352" s="90"/>
    </row>
    <row r="353" spans="1:8">
      <c r="A353" s="53" t="s">
        <v>899</v>
      </c>
      <c r="B353" s="53" t="s">
        <v>900</v>
      </c>
      <c r="C353" s="53" t="s">
        <v>872</v>
      </c>
      <c r="D353" s="53" t="s">
        <v>157</v>
      </c>
      <c r="E353" s="53" t="s">
        <v>100</v>
      </c>
      <c r="F353" s="85">
        <v>0</v>
      </c>
      <c r="G353" s="86"/>
      <c r="H353" s="510"/>
    </row>
    <row r="354" spans="1:8">
      <c r="A354" s="25" t="s">
        <v>901</v>
      </c>
      <c r="B354" s="25" t="s">
        <v>902</v>
      </c>
      <c r="C354" s="25" t="s">
        <v>872</v>
      </c>
      <c r="D354" s="25" t="s">
        <v>162</v>
      </c>
      <c r="E354" s="25" t="s">
        <v>100</v>
      </c>
      <c r="F354" s="82">
        <v>3366400</v>
      </c>
      <c r="G354" s="100"/>
      <c r="H354" s="510">
        <f t="shared" si="6"/>
        <v>3366400</v>
      </c>
    </row>
    <row r="355" spans="1:8">
      <c r="A355" s="25" t="s">
        <v>903</v>
      </c>
      <c r="B355" s="25" t="s">
        <v>2147</v>
      </c>
      <c r="C355" s="25" t="s">
        <v>872</v>
      </c>
      <c r="D355" s="25" t="s">
        <v>162</v>
      </c>
      <c r="E355" s="25" t="s">
        <v>100</v>
      </c>
      <c r="F355" s="82">
        <v>0</v>
      </c>
      <c r="G355" s="100"/>
      <c r="H355" s="510">
        <f t="shared" si="6"/>
        <v>0</v>
      </c>
    </row>
    <row r="356" spans="1:8">
      <c r="A356" s="25" t="s">
        <v>905</v>
      </c>
      <c r="B356" s="25" t="s">
        <v>906</v>
      </c>
      <c r="C356" s="25" t="s">
        <v>872</v>
      </c>
      <c r="D356" s="25" t="s">
        <v>162</v>
      </c>
      <c r="E356" s="25" t="s">
        <v>100</v>
      </c>
      <c r="F356" s="82">
        <v>8250</v>
      </c>
      <c r="G356" s="100"/>
      <c r="H356" s="510">
        <f t="shared" si="6"/>
        <v>8250</v>
      </c>
    </row>
    <row r="357" spans="1:8">
      <c r="A357" s="25" t="s">
        <v>907</v>
      </c>
      <c r="B357" s="25" t="s">
        <v>908</v>
      </c>
      <c r="C357" s="25" t="s">
        <v>872</v>
      </c>
      <c r="D357" s="25" t="s">
        <v>162</v>
      </c>
      <c r="E357" s="25" t="s">
        <v>100</v>
      </c>
      <c r="F357" s="82">
        <v>4032413.5</v>
      </c>
      <c r="G357" s="100">
        <f>562938-500000</f>
        <v>62938</v>
      </c>
      <c r="H357" s="510">
        <f>F357+G357</f>
        <v>4095351.5</v>
      </c>
    </row>
    <row r="358" spans="1:8">
      <c r="A358" s="25" t="s">
        <v>909</v>
      </c>
      <c r="B358" s="25" t="s">
        <v>910</v>
      </c>
      <c r="C358" s="25" t="s">
        <v>872</v>
      </c>
      <c r="D358" s="25" t="s">
        <v>162</v>
      </c>
      <c r="E358" s="25" t="s">
        <v>100</v>
      </c>
      <c r="F358" s="82">
        <v>51780.5</v>
      </c>
      <c r="G358" s="100">
        <v>932</v>
      </c>
      <c r="H358" s="510">
        <f>F358+G358</f>
        <v>52712.5</v>
      </c>
    </row>
    <row r="359" spans="1:8">
      <c r="A359" s="53" t="s">
        <v>913</v>
      </c>
      <c r="B359" s="53" t="s">
        <v>914</v>
      </c>
      <c r="C359" s="53" t="s">
        <v>872</v>
      </c>
      <c r="D359" s="53" t="s">
        <v>169</v>
      </c>
      <c r="E359" s="53" t="s">
        <v>915</v>
      </c>
      <c r="F359" s="85">
        <v>7458844</v>
      </c>
      <c r="G359" s="86"/>
      <c r="H359" s="510"/>
    </row>
    <row r="360" spans="1:8">
      <c r="A360" s="53" t="s">
        <v>916</v>
      </c>
      <c r="B360" s="53" t="s">
        <v>917</v>
      </c>
      <c r="C360" s="53" t="s">
        <v>872</v>
      </c>
      <c r="D360" s="53" t="s">
        <v>169</v>
      </c>
      <c r="E360" s="53" t="s">
        <v>918</v>
      </c>
      <c r="F360" s="85">
        <v>61254363</v>
      </c>
      <c r="G360" s="86"/>
      <c r="H360" s="510"/>
    </row>
    <row r="361" spans="1:8">
      <c r="A361" s="53" t="s">
        <v>919</v>
      </c>
      <c r="B361" s="53" t="s">
        <v>920</v>
      </c>
      <c r="C361" s="53" t="s">
        <v>872</v>
      </c>
      <c r="D361" s="53" t="s">
        <v>157</v>
      </c>
      <c r="E361" s="53" t="s">
        <v>100</v>
      </c>
      <c r="F361" s="85">
        <v>0</v>
      </c>
      <c r="G361" s="86"/>
      <c r="H361" s="510"/>
    </row>
    <row r="362" spans="1:8">
      <c r="A362" s="53" t="s">
        <v>921</v>
      </c>
      <c r="B362" s="53" t="s">
        <v>922</v>
      </c>
      <c r="C362" s="53" t="s">
        <v>872</v>
      </c>
      <c r="D362" s="53" t="s">
        <v>157</v>
      </c>
      <c r="E362" s="53" t="s">
        <v>100</v>
      </c>
      <c r="F362" s="85">
        <v>0</v>
      </c>
      <c r="G362" s="86"/>
      <c r="H362" s="510"/>
    </row>
    <row r="363" spans="1:8">
      <c r="A363" s="25" t="s">
        <v>923</v>
      </c>
      <c r="B363" s="25" t="s">
        <v>924</v>
      </c>
      <c r="C363" s="25" t="s">
        <v>872</v>
      </c>
      <c r="D363" s="25" t="s">
        <v>162</v>
      </c>
      <c r="E363" s="25" t="s">
        <v>100</v>
      </c>
      <c r="F363" s="82">
        <v>783206.78</v>
      </c>
      <c r="G363" s="100">
        <f>14067.86+25000</f>
        <v>39067.86</v>
      </c>
      <c r="H363" s="510">
        <f>F363+G363</f>
        <v>822274.64</v>
      </c>
    </row>
    <row r="364" spans="1:8">
      <c r="A364" s="25" t="s">
        <v>925</v>
      </c>
      <c r="B364" s="25" t="s">
        <v>926</v>
      </c>
      <c r="C364" s="25" t="s">
        <v>872</v>
      </c>
      <c r="D364" s="25" t="s">
        <v>162</v>
      </c>
      <c r="E364" s="25" t="s">
        <v>100</v>
      </c>
      <c r="F364" s="82">
        <v>0</v>
      </c>
      <c r="G364" s="100"/>
      <c r="H364" s="510">
        <f t="shared" si="6"/>
        <v>0</v>
      </c>
    </row>
    <row r="365" spans="1:8">
      <c r="A365" s="25" t="s">
        <v>927</v>
      </c>
      <c r="B365" s="25" t="s">
        <v>928</v>
      </c>
      <c r="C365" s="25" t="s">
        <v>872</v>
      </c>
      <c r="D365" s="25" t="s">
        <v>162</v>
      </c>
      <c r="E365" s="25" t="s">
        <v>100</v>
      </c>
      <c r="F365" s="82">
        <v>0</v>
      </c>
      <c r="G365" s="100"/>
      <c r="H365" s="510">
        <f t="shared" si="6"/>
        <v>0</v>
      </c>
    </row>
    <row r="366" spans="1:8">
      <c r="A366" s="25" t="s">
        <v>929</v>
      </c>
      <c r="B366" s="25" t="s">
        <v>930</v>
      </c>
      <c r="C366" s="25" t="s">
        <v>872</v>
      </c>
      <c r="D366" s="25" t="s">
        <v>162</v>
      </c>
      <c r="E366" s="25" t="s">
        <v>100</v>
      </c>
      <c r="F366" s="82">
        <v>0</v>
      </c>
      <c r="G366" s="100"/>
      <c r="H366" s="510">
        <f t="shared" si="6"/>
        <v>0</v>
      </c>
    </row>
    <row r="367" spans="1:8">
      <c r="A367" s="25" t="s">
        <v>931</v>
      </c>
      <c r="B367" s="25" t="s">
        <v>932</v>
      </c>
      <c r="C367" s="25" t="s">
        <v>872</v>
      </c>
      <c r="D367" s="25" t="s">
        <v>162</v>
      </c>
      <c r="E367" s="25" t="s">
        <v>100</v>
      </c>
      <c r="F367" s="82">
        <v>179675.34</v>
      </c>
      <c r="G367" s="100"/>
      <c r="H367" s="510">
        <f t="shared" si="6"/>
        <v>179675.34</v>
      </c>
    </row>
    <row r="368" spans="1:8">
      <c r="A368" s="25" t="s">
        <v>933</v>
      </c>
      <c r="B368" s="25" t="s">
        <v>934</v>
      </c>
      <c r="C368" s="25" t="s">
        <v>872</v>
      </c>
      <c r="D368" s="25" t="s">
        <v>162</v>
      </c>
      <c r="E368" s="25" t="s">
        <v>100</v>
      </c>
      <c r="F368" s="82">
        <v>0</v>
      </c>
      <c r="G368" s="100"/>
      <c r="H368" s="510">
        <f t="shared" si="6"/>
        <v>0</v>
      </c>
    </row>
    <row r="369" spans="1:8">
      <c r="A369" s="25" t="s">
        <v>2202</v>
      </c>
      <c r="B369" s="25" t="s">
        <v>2203</v>
      </c>
      <c r="C369" s="25" t="s">
        <v>872</v>
      </c>
      <c r="D369" s="25" t="s">
        <v>162</v>
      </c>
      <c r="E369" s="25" t="s">
        <v>100</v>
      </c>
      <c r="F369" s="82">
        <v>-49604.12</v>
      </c>
      <c r="G369" s="100"/>
      <c r="H369" s="510">
        <f t="shared" si="6"/>
        <v>-49604.12</v>
      </c>
    </row>
    <row r="370" spans="1:8">
      <c r="A370" s="25" t="s">
        <v>935</v>
      </c>
      <c r="B370" s="25" t="s">
        <v>2171</v>
      </c>
      <c r="C370" s="25" t="s">
        <v>872</v>
      </c>
      <c r="D370" s="25" t="s">
        <v>162</v>
      </c>
      <c r="E370" s="25" t="s">
        <v>100</v>
      </c>
      <c r="F370" s="82">
        <v>0</v>
      </c>
      <c r="G370" s="100"/>
      <c r="H370" s="510">
        <f t="shared" si="6"/>
        <v>0</v>
      </c>
    </row>
    <row r="371" spans="1:8">
      <c r="A371" s="53" t="s">
        <v>937</v>
      </c>
      <c r="B371" s="53" t="s">
        <v>938</v>
      </c>
      <c r="C371" s="53" t="s">
        <v>872</v>
      </c>
      <c r="D371" s="53" t="s">
        <v>169</v>
      </c>
      <c r="E371" s="53" t="s">
        <v>939</v>
      </c>
      <c r="F371" s="85">
        <v>913278</v>
      </c>
      <c r="G371" s="86"/>
      <c r="H371" s="510"/>
    </row>
    <row r="372" spans="1:8">
      <c r="A372" s="53" t="s">
        <v>940</v>
      </c>
      <c r="B372" s="53" t="s">
        <v>941</v>
      </c>
      <c r="C372" s="53" t="s">
        <v>872</v>
      </c>
      <c r="D372" s="53" t="s">
        <v>157</v>
      </c>
      <c r="E372" s="53" t="s">
        <v>100</v>
      </c>
      <c r="F372" s="85">
        <v>0</v>
      </c>
      <c r="G372" s="86"/>
      <c r="H372" s="510"/>
    </row>
    <row r="373" spans="1:8">
      <c r="A373" s="25" t="s">
        <v>942</v>
      </c>
      <c r="B373" s="25" t="s">
        <v>943</v>
      </c>
      <c r="C373" s="25" t="s">
        <v>872</v>
      </c>
      <c r="D373" s="25" t="s">
        <v>162</v>
      </c>
      <c r="E373" s="25" t="s">
        <v>100</v>
      </c>
      <c r="F373" s="82">
        <v>25000</v>
      </c>
      <c r="G373" s="100"/>
      <c r="H373" s="510">
        <f t="shared" si="6"/>
        <v>25000</v>
      </c>
    </row>
    <row r="374" spans="1:8">
      <c r="A374" s="25" t="s">
        <v>944</v>
      </c>
      <c r="B374" s="25" t="s">
        <v>2204</v>
      </c>
      <c r="C374" s="25" t="s">
        <v>872</v>
      </c>
      <c r="D374" s="25" t="s">
        <v>162</v>
      </c>
      <c r="E374" s="25" t="s">
        <v>100</v>
      </c>
      <c r="F374" s="82">
        <v>0</v>
      </c>
      <c r="G374" s="100"/>
      <c r="H374" s="510">
        <f t="shared" si="6"/>
        <v>0</v>
      </c>
    </row>
    <row r="375" spans="1:8">
      <c r="A375" s="25" t="s">
        <v>946</v>
      </c>
      <c r="B375" s="25" t="s">
        <v>947</v>
      </c>
      <c r="C375" s="25" t="s">
        <v>872</v>
      </c>
      <c r="D375" s="25" t="s">
        <v>162</v>
      </c>
      <c r="E375" s="25" t="s">
        <v>100</v>
      </c>
      <c r="F375" s="82">
        <v>0</v>
      </c>
      <c r="G375" s="100"/>
      <c r="H375" s="510">
        <f t="shared" si="6"/>
        <v>0</v>
      </c>
    </row>
    <row r="376" spans="1:8">
      <c r="A376" s="25" t="s">
        <v>948</v>
      </c>
      <c r="B376" s="25" t="s">
        <v>949</v>
      </c>
      <c r="C376" s="25" t="s">
        <v>872</v>
      </c>
      <c r="D376" s="25" t="s">
        <v>162</v>
      </c>
      <c r="E376" s="25" t="s">
        <v>100</v>
      </c>
      <c r="F376" s="82">
        <v>24316.5</v>
      </c>
      <c r="G376" s="100"/>
      <c r="H376" s="510">
        <f t="shared" si="6"/>
        <v>24316.5</v>
      </c>
    </row>
    <row r="377" spans="1:8">
      <c r="A377" s="25" t="s">
        <v>950</v>
      </c>
      <c r="B377" s="25" t="s">
        <v>951</v>
      </c>
      <c r="C377" s="25" t="s">
        <v>872</v>
      </c>
      <c r="D377" s="25" t="s">
        <v>162</v>
      </c>
      <c r="E377" s="25" t="s">
        <v>100</v>
      </c>
      <c r="F377" s="82">
        <v>3000</v>
      </c>
      <c r="G377" s="100"/>
      <c r="H377" s="510">
        <f t="shared" si="6"/>
        <v>3000</v>
      </c>
    </row>
    <row r="378" spans="1:8">
      <c r="A378" s="53" t="s">
        <v>952</v>
      </c>
      <c r="B378" s="53" t="s">
        <v>953</v>
      </c>
      <c r="C378" s="53" t="s">
        <v>872</v>
      </c>
      <c r="D378" s="53" t="s">
        <v>169</v>
      </c>
      <c r="E378" s="53" t="s">
        <v>954</v>
      </c>
      <c r="F378" s="85">
        <v>52316.5</v>
      </c>
      <c r="G378" s="86"/>
      <c r="H378" s="510"/>
    </row>
    <row r="379" spans="1:8">
      <c r="A379" s="53" t="s">
        <v>955</v>
      </c>
      <c r="B379" s="53" t="s">
        <v>956</v>
      </c>
      <c r="C379" s="53" t="s">
        <v>872</v>
      </c>
      <c r="D379" s="53" t="s">
        <v>157</v>
      </c>
      <c r="E379" s="53" t="s">
        <v>100</v>
      </c>
      <c r="F379" s="85">
        <v>0</v>
      </c>
      <c r="G379" s="86"/>
      <c r="H379" s="510"/>
    </row>
    <row r="380" spans="1:8">
      <c r="A380" s="25" t="s">
        <v>957</v>
      </c>
      <c r="B380" s="25" t="s">
        <v>958</v>
      </c>
      <c r="C380" s="25" t="s">
        <v>872</v>
      </c>
      <c r="D380" s="25" t="s">
        <v>162</v>
      </c>
      <c r="E380" s="25" t="s">
        <v>100</v>
      </c>
      <c r="F380" s="82">
        <v>1443.62</v>
      </c>
      <c r="G380" s="100"/>
      <c r="H380" s="510">
        <f t="shared" si="6"/>
        <v>1443.62</v>
      </c>
    </row>
    <row r="381" spans="1:8">
      <c r="A381" s="25" t="s">
        <v>959</v>
      </c>
      <c r="B381" s="25" t="s">
        <v>960</v>
      </c>
      <c r="C381" s="25" t="s">
        <v>872</v>
      </c>
      <c r="D381" s="25" t="s">
        <v>162</v>
      </c>
      <c r="E381" s="25" t="s">
        <v>100</v>
      </c>
      <c r="F381" s="82">
        <v>418229.05</v>
      </c>
      <c r="G381" s="100">
        <v>36814</v>
      </c>
      <c r="H381" s="510">
        <f>F381+G381</f>
        <v>455043.05</v>
      </c>
    </row>
    <row r="382" spans="1:8">
      <c r="A382" s="25" t="s">
        <v>961</v>
      </c>
      <c r="B382" s="25" t="s">
        <v>962</v>
      </c>
      <c r="C382" s="25" t="s">
        <v>872</v>
      </c>
      <c r="D382" s="25" t="s">
        <v>162</v>
      </c>
      <c r="E382" s="25" t="s">
        <v>100</v>
      </c>
      <c r="F382" s="82">
        <v>109107</v>
      </c>
      <c r="G382" s="100">
        <v>31266</v>
      </c>
      <c r="H382" s="510">
        <f>F382+G382</f>
        <v>140373</v>
      </c>
    </row>
    <row r="383" spans="1:8">
      <c r="A383" s="25" t="s">
        <v>963</v>
      </c>
      <c r="B383" s="25" t="s">
        <v>964</v>
      </c>
      <c r="C383" s="25" t="s">
        <v>872</v>
      </c>
      <c r="D383" s="25" t="s">
        <v>162</v>
      </c>
      <c r="E383" s="25" t="s">
        <v>100</v>
      </c>
      <c r="F383" s="82">
        <v>0</v>
      </c>
      <c r="G383" s="100"/>
      <c r="H383" s="510">
        <f t="shared" si="6"/>
        <v>0</v>
      </c>
    </row>
    <row r="384" spans="1:8">
      <c r="A384" s="53" t="s">
        <v>965</v>
      </c>
      <c r="B384" s="53" t="s">
        <v>966</v>
      </c>
      <c r="C384" s="53" t="s">
        <v>872</v>
      </c>
      <c r="D384" s="53" t="s">
        <v>169</v>
      </c>
      <c r="E384" s="53" t="s">
        <v>967</v>
      </c>
      <c r="F384" s="85">
        <v>528779.67000000004</v>
      </c>
      <c r="G384" s="86"/>
      <c r="H384" s="510"/>
    </row>
    <row r="385" spans="1:8">
      <c r="A385" s="53" t="s">
        <v>968</v>
      </c>
      <c r="B385" s="53" t="s">
        <v>938</v>
      </c>
      <c r="C385" s="53" t="s">
        <v>872</v>
      </c>
      <c r="D385" s="53" t="s">
        <v>169</v>
      </c>
      <c r="E385" s="53" t="s">
        <v>969</v>
      </c>
      <c r="F385" s="85">
        <v>1494374.17</v>
      </c>
      <c r="G385" s="86"/>
      <c r="H385" s="510"/>
    </row>
    <row r="386" spans="1:8">
      <c r="A386" s="53" t="s">
        <v>970</v>
      </c>
      <c r="B386" s="53" t="s">
        <v>971</v>
      </c>
      <c r="C386" s="53" t="s">
        <v>872</v>
      </c>
      <c r="D386" s="53" t="s">
        <v>157</v>
      </c>
      <c r="E386" s="53" t="s">
        <v>100</v>
      </c>
      <c r="F386" s="85">
        <v>0</v>
      </c>
      <c r="G386" s="86"/>
      <c r="H386" s="510"/>
    </row>
    <row r="387" spans="1:8">
      <c r="A387" s="25" t="s">
        <v>972</v>
      </c>
      <c r="B387" s="25" t="s">
        <v>973</v>
      </c>
      <c r="C387" s="25" t="s">
        <v>872</v>
      </c>
      <c r="D387" s="25" t="s">
        <v>162</v>
      </c>
      <c r="E387" s="25" t="s">
        <v>100</v>
      </c>
      <c r="F387" s="82">
        <v>8462140.2300000004</v>
      </c>
      <c r="G387" s="100"/>
      <c r="H387" s="510">
        <f t="shared" si="6"/>
        <v>8462140.2300000004</v>
      </c>
    </row>
    <row r="388" spans="1:8">
      <c r="A388" s="25" t="s">
        <v>974</v>
      </c>
      <c r="B388" s="25" t="s">
        <v>2172</v>
      </c>
      <c r="C388" s="25" t="s">
        <v>872</v>
      </c>
      <c r="D388" s="25" t="s">
        <v>162</v>
      </c>
      <c r="E388" s="25" t="s">
        <v>100</v>
      </c>
      <c r="F388" s="82">
        <v>1660.96</v>
      </c>
      <c r="G388" s="100"/>
      <c r="H388" s="510">
        <f t="shared" si="6"/>
        <v>1660.96</v>
      </c>
    </row>
    <row r="389" spans="1:8">
      <c r="A389" s="25" t="s">
        <v>976</v>
      </c>
      <c r="B389" s="25" t="s">
        <v>977</v>
      </c>
      <c r="C389" s="25" t="s">
        <v>872</v>
      </c>
      <c r="D389" s="25" t="s">
        <v>162</v>
      </c>
      <c r="E389" s="25" t="s">
        <v>100</v>
      </c>
      <c r="F389" s="82">
        <v>10263.33</v>
      </c>
      <c r="G389" s="100"/>
      <c r="H389" s="510">
        <f t="shared" si="6"/>
        <v>10263.33</v>
      </c>
    </row>
    <row r="390" spans="1:8">
      <c r="A390" s="25" t="s">
        <v>978</v>
      </c>
      <c r="B390" s="25" t="s">
        <v>979</v>
      </c>
      <c r="C390" s="25" t="s">
        <v>872</v>
      </c>
      <c r="D390" s="25" t="s">
        <v>162</v>
      </c>
      <c r="E390" s="25" t="s">
        <v>100</v>
      </c>
      <c r="F390" s="82">
        <v>0</v>
      </c>
      <c r="G390" s="100"/>
      <c r="H390" s="510">
        <f t="shared" si="6"/>
        <v>0</v>
      </c>
    </row>
    <row r="391" spans="1:8">
      <c r="A391" s="25" t="s">
        <v>980</v>
      </c>
      <c r="B391" s="25" t="s">
        <v>981</v>
      </c>
      <c r="C391" s="25" t="s">
        <v>872</v>
      </c>
      <c r="D391" s="25" t="s">
        <v>162</v>
      </c>
      <c r="E391" s="25" t="s">
        <v>100</v>
      </c>
      <c r="F391" s="82">
        <v>-11064.43</v>
      </c>
      <c r="G391" s="100"/>
      <c r="H391" s="510">
        <f t="shared" si="6"/>
        <v>-11064.43</v>
      </c>
    </row>
    <row r="392" spans="1:8">
      <c r="A392" s="25" t="s">
        <v>982</v>
      </c>
      <c r="B392" s="25" t="s">
        <v>983</v>
      </c>
      <c r="C392" s="25" t="s">
        <v>872</v>
      </c>
      <c r="D392" s="25" t="s">
        <v>162</v>
      </c>
      <c r="E392" s="25" t="s">
        <v>100</v>
      </c>
      <c r="F392" s="82">
        <v>23564.799999999999</v>
      </c>
      <c r="G392" s="100"/>
      <c r="H392" s="510">
        <f t="shared" si="6"/>
        <v>23564.799999999999</v>
      </c>
    </row>
    <row r="393" spans="1:8">
      <c r="A393" s="25" t="s">
        <v>984</v>
      </c>
      <c r="B393" s="25" t="s">
        <v>985</v>
      </c>
      <c r="C393" s="25" t="s">
        <v>872</v>
      </c>
      <c r="D393" s="25" t="s">
        <v>162</v>
      </c>
      <c r="E393" s="25" t="s">
        <v>100</v>
      </c>
      <c r="F393" s="82">
        <v>10968.29</v>
      </c>
      <c r="G393" s="100"/>
      <c r="H393" s="510">
        <f t="shared" si="6"/>
        <v>10968.29</v>
      </c>
    </row>
    <row r="394" spans="1:8">
      <c r="A394" s="25" t="s">
        <v>986</v>
      </c>
      <c r="B394" s="25" t="s">
        <v>987</v>
      </c>
      <c r="C394" s="25" t="s">
        <v>872</v>
      </c>
      <c r="D394" s="25" t="s">
        <v>162</v>
      </c>
      <c r="E394" s="25" t="s">
        <v>100</v>
      </c>
      <c r="F394" s="82">
        <v>5424.5</v>
      </c>
      <c r="G394" s="100"/>
      <c r="H394" s="510">
        <f t="shared" si="6"/>
        <v>5424.5</v>
      </c>
    </row>
    <row r="395" spans="1:8">
      <c r="A395" s="25" t="s">
        <v>988</v>
      </c>
      <c r="B395" s="25" t="s">
        <v>2173</v>
      </c>
      <c r="C395" s="25" t="s">
        <v>872</v>
      </c>
      <c r="D395" s="25" t="s">
        <v>162</v>
      </c>
      <c r="E395" s="25" t="s">
        <v>100</v>
      </c>
      <c r="F395" s="82">
        <v>883.63</v>
      </c>
      <c r="G395" s="100"/>
      <c r="H395" s="510">
        <f t="shared" si="6"/>
        <v>883.63</v>
      </c>
    </row>
    <row r="396" spans="1:8">
      <c r="A396" s="25" t="s">
        <v>990</v>
      </c>
      <c r="B396" s="25" t="s">
        <v>2174</v>
      </c>
      <c r="C396" s="25" t="s">
        <v>872</v>
      </c>
      <c r="D396" s="25" t="s">
        <v>162</v>
      </c>
      <c r="E396" s="25" t="s">
        <v>100</v>
      </c>
      <c r="F396" s="82">
        <v>3776.97</v>
      </c>
      <c r="G396" s="100"/>
      <c r="H396" s="510">
        <f t="shared" si="6"/>
        <v>3776.97</v>
      </c>
    </row>
    <row r="397" spans="1:8">
      <c r="A397" s="25" t="s">
        <v>992</v>
      </c>
      <c r="B397" s="25" t="s">
        <v>993</v>
      </c>
      <c r="C397" s="25" t="s">
        <v>872</v>
      </c>
      <c r="D397" s="25" t="s">
        <v>162</v>
      </c>
      <c r="E397" s="25" t="s">
        <v>100</v>
      </c>
      <c r="F397" s="82">
        <v>4317.22</v>
      </c>
      <c r="G397" s="100"/>
      <c r="H397" s="510">
        <f t="shared" si="6"/>
        <v>4317.22</v>
      </c>
    </row>
    <row r="398" spans="1:8">
      <c r="A398" s="25" t="s">
        <v>994</v>
      </c>
      <c r="B398" s="25" t="s">
        <v>2175</v>
      </c>
      <c r="C398" s="25" t="s">
        <v>872</v>
      </c>
      <c r="D398" s="25" t="s">
        <v>162</v>
      </c>
      <c r="E398" s="25" t="s">
        <v>100</v>
      </c>
      <c r="F398" s="82">
        <v>1.53</v>
      </c>
      <c r="G398" s="100"/>
      <c r="H398" s="510">
        <f t="shared" si="6"/>
        <v>1.53</v>
      </c>
    </row>
    <row r="399" spans="1:8">
      <c r="A399" s="25" t="s">
        <v>996</v>
      </c>
      <c r="B399" s="25" t="s">
        <v>2220</v>
      </c>
      <c r="C399" s="25" t="s">
        <v>872</v>
      </c>
      <c r="D399" s="25" t="s">
        <v>162</v>
      </c>
      <c r="E399" s="25" t="s">
        <v>100</v>
      </c>
      <c r="F399" s="82">
        <v>0</v>
      </c>
      <c r="G399" s="100"/>
      <c r="H399" s="510">
        <f t="shared" si="6"/>
        <v>0</v>
      </c>
    </row>
    <row r="400" spans="1:8">
      <c r="A400" s="25" t="s">
        <v>998</v>
      </c>
      <c r="B400" s="25" t="s">
        <v>2221</v>
      </c>
      <c r="C400" s="25" t="s">
        <v>872</v>
      </c>
      <c r="D400" s="25" t="s">
        <v>162</v>
      </c>
      <c r="E400" s="25" t="s">
        <v>100</v>
      </c>
      <c r="F400" s="82">
        <v>0</v>
      </c>
      <c r="G400" s="100"/>
      <c r="H400" s="510">
        <f t="shared" si="6"/>
        <v>0</v>
      </c>
    </row>
    <row r="401" spans="1:10">
      <c r="A401" s="25" t="s">
        <v>1000</v>
      </c>
      <c r="B401" s="25" t="s">
        <v>2205</v>
      </c>
      <c r="C401" s="25" t="s">
        <v>872</v>
      </c>
      <c r="D401" s="25" t="s">
        <v>162</v>
      </c>
      <c r="E401" s="25" t="s">
        <v>100</v>
      </c>
      <c r="F401" s="82">
        <v>0</v>
      </c>
      <c r="G401" s="100"/>
      <c r="H401" s="510">
        <f t="shared" si="6"/>
        <v>0</v>
      </c>
      <c r="I401" s="90"/>
      <c r="J401" s="90"/>
    </row>
    <row r="402" spans="1:10">
      <c r="A402" s="53" t="s">
        <v>1002</v>
      </c>
      <c r="B402" s="53" t="s">
        <v>1003</v>
      </c>
      <c r="C402" s="53" t="s">
        <v>872</v>
      </c>
      <c r="D402" s="53" t="s">
        <v>169</v>
      </c>
      <c r="E402" s="53" t="s">
        <v>1004</v>
      </c>
      <c r="F402" s="85">
        <v>8511937.0299999993</v>
      </c>
      <c r="G402" s="86"/>
      <c r="H402" s="510"/>
      <c r="I402" s="90"/>
      <c r="J402" s="90"/>
    </row>
    <row r="403" spans="1:10">
      <c r="A403" s="53" t="s">
        <v>1005</v>
      </c>
      <c r="B403" s="53" t="s">
        <v>1006</v>
      </c>
      <c r="C403" s="53" t="s">
        <v>872</v>
      </c>
      <c r="D403" s="53" t="s">
        <v>169</v>
      </c>
      <c r="E403" s="53" t="s">
        <v>1007</v>
      </c>
      <c r="F403" s="85">
        <v>71260674.200000003</v>
      </c>
      <c r="G403" s="86"/>
      <c r="H403" s="510"/>
      <c r="I403" s="90"/>
      <c r="J403" s="90"/>
    </row>
    <row r="404" spans="1:10">
      <c r="A404" s="53" t="s">
        <v>1008</v>
      </c>
      <c r="B404" s="53" t="s">
        <v>1009</v>
      </c>
      <c r="C404" s="53" t="s">
        <v>872</v>
      </c>
      <c r="D404" s="53" t="s">
        <v>157</v>
      </c>
      <c r="E404" s="53" t="s">
        <v>100</v>
      </c>
      <c r="F404" s="85">
        <v>0</v>
      </c>
      <c r="G404" s="86"/>
      <c r="H404" s="510"/>
      <c r="I404" s="90"/>
      <c r="J404" s="90"/>
    </row>
    <row r="405" spans="1:10">
      <c r="A405" s="53" t="s">
        <v>1010</v>
      </c>
      <c r="B405" s="53" t="s">
        <v>1011</v>
      </c>
      <c r="C405" s="53" t="s">
        <v>872</v>
      </c>
      <c r="D405" s="53" t="s">
        <v>157</v>
      </c>
      <c r="E405" s="53" t="s">
        <v>100</v>
      </c>
      <c r="F405" s="85">
        <v>0</v>
      </c>
      <c r="G405" s="86"/>
      <c r="H405" s="510"/>
      <c r="I405" s="90"/>
      <c r="J405" s="90"/>
    </row>
    <row r="406" spans="1:10">
      <c r="A406" s="53" t="s">
        <v>1012</v>
      </c>
      <c r="B406" s="53" t="s">
        <v>1013</v>
      </c>
      <c r="C406" s="53" t="s">
        <v>872</v>
      </c>
      <c r="D406" s="53" t="s">
        <v>157</v>
      </c>
      <c r="E406" s="53" t="s">
        <v>100</v>
      </c>
      <c r="F406" s="85">
        <v>0</v>
      </c>
      <c r="G406" s="86"/>
      <c r="H406" s="510"/>
      <c r="I406" s="90"/>
      <c r="J406" s="90"/>
    </row>
    <row r="407" spans="1:10">
      <c r="A407" s="25" t="s">
        <v>1014</v>
      </c>
      <c r="B407" s="25" t="s">
        <v>1015</v>
      </c>
      <c r="C407" s="25" t="s">
        <v>872</v>
      </c>
      <c r="D407" s="25" t="s">
        <v>162</v>
      </c>
      <c r="E407" s="25" t="s">
        <v>100</v>
      </c>
      <c r="F407" s="82">
        <v>-22990605.600000001</v>
      </c>
      <c r="G407" s="99">
        <f>-500000+932+562938</f>
        <v>63870</v>
      </c>
      <c r="H407" s="510">
        <f>F407+G407</f>
        <v>-22926735.600000001</v>
      </c>
      <c r="I407" s="90"/>
      <c r="J407" s="90"/>
    </row>
    <row r="408" spans="1:10">
      <c r="A408" s="53" t="s">
        <v>1016</v>
      </c>
      <c r="B408" s="53" t="s">
        <v>106</v>
      </c>
      <c r="C408" s="53" t="s">
        <v>872</v>
      </c>
      <c r="D408" s="53" t="s">
        <v>598</v>
      </c>
      <c r="E408" s="53" t="s">
        <v>869</v>
      </c>
      <c r="F408" s="85">
        <v>49397.85</v>
      </c>
      <c r="G408" s="98"/>
      <c r="H408" s="510">
        <f t="shared" ref="H408:H471" si="7">F408</f>
        <v>49397.85</v>
      </c>
      <c r="I408" s="90">
        <f>+I339</f>
        <v>-662424.49000000011</v>
      </c>
      <c r="J408" s="155">
        <f>+I593</f>
        <v>-1014208.9100000064</v>
      </c>
    </row>
    <row r="409" spans="1:10">
      <c r="A409" s="25" t="s">
        <v>1017</v>
      </c>
      <c r="B409" s="25" t="s">
        <v>1018</v>
      </c>
      <c r="C409" s="25" t="s">
        <v>872</v>
      </c>
      <c r="D409" s="25" t="s">
        <v>162</v>
      </c>
      <c r="E409" s="25" t="s">
        <v>100</v>
      </c>
      <c r="F409" s="82">
        <v>-2981550</v>
      </c>
      <c r="G409" s="99"/>
      <c r="H409" s="510">
        <f t="shared" si="7"/>
        <v>-2981550</v>
      </c>
      <c r="I409" s="90"/>
      <c r="J409" s="90"/>
    </row>
    <row r="410" spans="1:10">
      <c r="A410" s="25" t="s">
        <v>1019</v>
      </c>
      <c r="B410" s="25" t="s">
        <v>1020</v>
      </c>
      <c r="C410" s="25" t="s">
        <v>872</v>
      </c>
      <c r="D410" s="25" t="s">
        <v>162</v>
      </c>
      <c r="E410" s="25" t="s">
        <v>100</v>
      </c>
      <c r="F410" s="82">
        <v>527309.25</v>
      </c>
      <c r="G410" s="99"/>
      <c r="H410" s="510">
        <f t="shared" si="7"/>
        <v>527309.25</v>
      </c>
      <c r="I410" s="155">
        <f>+H407+H409+H410+150000</f>
        <v>-25230976.350000001</v>
      </c>
      <c r="J410" s="90"/>
    </row>
    <row r="411" spans="1:10">
      <c r="A411" s="25" t="s">
        <v>1021</v>
      </c>
      <c r="B411" s="25" t="s">
        <v>1022</v>
      </c>
      <c r="C411" s="25" t="s">
        <v>872</v>
      </c>
      <c r="D411" s="25" t="s">
        <v>162</v>
      </c>
      <c r="E411" s="25" t="s">
        <v>100</v>
      </c>
      <c r="F411" s="82">
        <v>-19425464.149999999</v>
      </c>
      <c r="G411" s="99">
        <v>-1312800</v>
      </c>
      <c r="H411" s="93">
        <f>F411+G411</f>
        <v>-20738264.149999999</v>
      </c>
      <c r="I411" s="90"/>
      <c r="J411" s="90"/>
    </row>
    <row r="412" spans="1:10">
      <c r="A412" s="25" t="s">
        <v>1023</v>
      </c>
      <c r="B412" s="25" t="s">
        <v>1024</v>
      </c>
      <c r="C412" s="25" t="s">
        <v>872</v>
      </c>
      <c r="D412" s="25" t="s">
        <v>162</v>
      </c>
      <c r="E412" s="25" t="s">
        <v>100</v>
      </c>
      <c r="F412" s="82">
        <v>-2112234</v>
      </c>
      <c r="G412" s="99">
        <f>-932-562938+500000+500000</f>
        <v>436130</v>
      </c>
      <c r="H412" s="93">
        <f>+F412+G412</f>
        <v>-1676104</v>
      </c>
      <c r="I412" s="90"/>
      <c r="J412" s="90"/>
    </row>
    <row r="413" spans="1:10">
      <c r="A413" s="53" t="s">
        <v>1025</v>
      </c>
      <c r="B413" s="53" t="s">
        <v>1026</v>
      </c>
      <c r="C413" s="53" t="s">
        <v>872</v>
      </c>
      <c r="D413" s="53" t="s">
        <v>169</v>
      </c>
      <c r="E413" s="53" t="s">
        <v>1027</v>
      </c>
      <c r="F413" s="85">
        <v>-46982544.5</v>
      </c>
      <c r="G413" s="86"/>
      <c r="H413" s="510"/>
      <c r="I413" s="155"/>
      <c r="J413" s="511"/>
    </row>
    <row r="414" spans="1:10">
      <c r="A414" s="53" t="s">
        <v>1028</v>
      </c>
      <c r="B414" s="53" t="s">
        <v>1029</v>
      </c>
      <c r="C414" s="53" t="s">
        <v>872</v>
      </c>
      <c r="D414" s="53" t="s">
        <v>157</v>
      </c>
      <c r="E414" s="53" t="s">
        <v>100</v>
      </c>
      <c r="F414" s="85">
        <v>0</v>
      </c>
      <c r="G414" s="86"/>
      <c r="H414" s="510"/>
      <c r="I414" s="90"/>
      <c r="J414" s="90"/>
    </row>
    <row r="415" spans="1:10">
      <c r="A415" s="25" t="s">
        <v>1030</v>
      </c>
      <c r="B415" s="25" t="s">
        <v>1031</v>
      </c>
      <c r="C415" s="25" t="s">
        <v>872</v>
      </c>
      <c r="D415" s="25" t="s">
        <v>162</v>
      </c>
      <c r="E415" s="25" t="s">
        <v>100</v>
      </c>
      <c r="F415" s="82">
        <v>-14332934.220000001</v>
      </c>
      <c r="G415" s="100"/>
      <c r="H415" s="93">
        <f t="shared" si="7"/>
        <v>-14332934.220000001</v>
      </c>
      <c r="I415" s="90"/>
      <c r="J415" s="90"/>
    </row>
    <row r="416" spans="1:10">
      <c r="A416" s="25" t="s">
        <v>1032</v>
      </c>
      <c r="B416" s="25" t="s">
        <v>1033</v>
      </c>
      <c r="C416" s="25" t="s">
        <v>872</v>
      </c>
      <c r="D416" s="25" t="s">
        <v>162</v>
      </c>
      <c r="E416" s="25" t="s">
        <v>100</v>
      </c>
      <c r="F416" s="82">
        <v>-55270.02</v>
      </c>
      <c r="G416" s="100">
        <v>26375</v>
      </c>
      <c r="H416" s="93">
        <f t="shared" si="7"/>
        <v>-55270.02</v>
      </c>
      <c r="I416" s="90"/>
      <c r="J416" s="90"/>
    </row>
    <row r="417" spans="1:9">
      <c r="A417" s="25" t="s">
        <v>1034</v>
      </c>
      <c r="B417" s="25" t="s">
        <v>1035</v>
      </c>
      <c r="C417" s="25" t="s">
        <v>872</v>
      </c>
      <c r="D417" s="25" t="s">
        <v>162</v>
      </c>
      <c r="E417" s="25" t="s">
        <v>100</v>
      </c>
      <c r="F417" s="82">
        <v>728129</v>
      </c>
      <c r="G417" s="100"/>
      <c r="H417" s="93">
        <f t="shared" si="7"/>
        <v>728129</v>
      </c>
      <c r="I417" s="90"/>
    </row>
    <row r="418" spans="1:9">
      <c r="A418" s="25" t="s">
        <v>1036</v>
      </c>
      <c r="B418" s="25" t="s">
        <v>1037</v>
      </c>
      <c r="C418" s="25" t="s">
        <v>872</v>
      </c>
      <c r="D418" s="25" t="s">
        <v>162</v>
      </c>
      <c r="E418" s="25" t="s">
        <v>100</v>
      </c>
      <c r="F418" s="82">
        <v>7390253</v>
      </c>
      <c r="G418" s="100"/>
      <c r="H418" s="93">
        <f t="shared" si="7"/>
        <v>7390253</v>
      </c>
      <c r="I418" s="90"/>
    </row>
    <row r="419" spans="1:9">
      <c r="A419" s="25" t="s">
        <v>1038</v>
      </c>
      <c r="B419" s="25" t="s">
        <v>440</v>
      </c>
      <c r="C419" s="25" t="s">
        <v>872</v>
      </c>
      <c r="D419" s="25" t="s">
        <v>162</v>
      </c>
      <c r="E419" s="25" t="s">
        <v>100</v>
      </c>
      <c r="F419" s="82">
        <v>46375</v>
      </c>
      <c r="G419" s="100">
        <v>-26375</v>
      </c>
      <c r="H419" s="93">
        <f t="shared" si="7"/>
        <v>46375</v>
      </c>
      <c r="I419" s="90"/>
    </row>
    <row r="420" spans="1:9">
      <c r="A420" s="53" t="s">
        <v>1039</v>
      </c>
      <c r="B420" s="53" t="s">
        <v>1040</v>
      </c>
      <c r="C420" s="53" t="s">
        <v>872</v>
      </c>
      <c r="D420" s="53" t="s">
        <v>169</v>
      </c>
      <c r="E420" s="53" t="s">
        <v>1041</v>
      </c>
      <c r="F420" s="85">
        <v>-6223447.2400000002</v>
      </c>
      <c r="G420" s="86"/>
      <c r="H420" s="510"/>
      <c r="I420" s="155"/>
    </row>
    <row r="421" spans="1:9">
      <c r="A421" s="53" t="s">
        <v>1042</v>
      </c>
      <c r="B421" s="53" t="s">
        <v>1043</v>
      </c>
      <c r="C421" s="53" t="s">
        <v>872</v>
      </c>
      <c r="D421" s="53" t="s">
        <v>157</v>
      </c>
      <c r="E421" s="53" t="s">
        <v>100</v>
      </c>
      <c r="F421" s="85">
        <v>0</v>
      </c>
      <c r="G421" s="86"/>
      <c r="H421" s="510"/>
      <c r="I421" s="90"/>
    </row>
    <row r="422" spans="1:9">
      <c r="A422" s="25" t="s">
        <v>1044</v>
      </c>
      <c r="B422" s="25" t="s">
        <v>1045</v>
      </c>
      <c r="C422" s="25" t="s">
        <v>872</v>
      </c>
      <c r="D422" s="25" t="s">
        <v>162</v>
      </c>
      <c r="E422" s="25" t="s">
        <v>100</v>
      </c>
      <c r="F422" s="82">
        <v>0</v>
      </c>
      <c r="G422" s="100"/>
      <c r="H422" s="510">
        <f t="shared" si="7"/>
        <v>0</v>
      </c>
      <c r="I422" s="90"/>
    </row>
    <row r="423" spans="1:9">
      <c r="A423" s="25" t="s">
        <v>1046</v>
      </c>
      <c r="B423" s="25" t="s">
        <v>1047</v>
      </c>
      <c r="C423" s="25" t="s">
        <v>872</v>
      </c>
      <c r="D423" s="25" t="s">
        <v>162</v>
      </c>
      <c r="E423" s="25" t="s">
        <v>100</v>
      </c>
      <c r="F423" s="82">
        <v>-59187.46</v>
      </c>
      <c r="G423" s="100">
        <v>59187.46</v>
      </c>
      <c r="H423" s="93">
        <f>F423+G423</f>
        <v>0</v>
      </c>
      <c r="I423" s="155" t="e">
        <f>+H423+#REF!</f>
        <v>#REF!</v>
      </c>
    </row>
    <row r="424" spans="1:9">
      <c r="A424" s="25" t="s">
        <v>1048</v>
      </c>
      <c r="B424" s="25" t="s">
        <v>1049</v>
      </c>
      <c r="C424" s="25" t="s">
        <v>872</v>
      </c>
      <c r="D424" s="25" t="s">
        <v>162</v>
      </c>
      <c r="E424" s="25" t="s">
        <v>100</v>
      </c>
      <c r="F424" s="82">
        <v>0</v>
      </c>
      <c r="G424" s="100"/>
      <c r="H424" s="510">
        <f t="shared" si="7"/>
        <v>0</v>
      </c>
      <c r="I424" s="90"/>
    </row>
    <row r="425" spans="1:9">
      <c r="A425" s="25" t="s">
        <v>1050</v>
      </c>
      <c r="B425" s="25" t="s">
        <v>1051</v>
      </c>
      <c r="C425" s="25" t="s">
        <v>872</v>
      </c>
      <c r="D425" s="25" t="s">
        <v>162</v>
      </c>
      <c r="E425" s="25" t="s">
        <v>100</v>
      </c>
      <c r="F425" s="82">
        <v>0</v>
      </c>
      <c r="G425" s="100"/>
      <c r="H425" s="510">
        <f t="shared" si="7"/>
        <v>0</v>
      </c>
      <c r="I425" s="90"/>
    </row>
    <row r="426" spans="1:9">
      <c r="A426" s="25" t="s">
        <v>1052</v>
      </c>
      <c r="B426" s="25" t="s">
        <v>1053</v>
      </c>
      <c r="C426" s="25" t="s">
        <v>872</v>
      </c>
      <c r="D426" s="25" t="s">
        <v>162</v>
      </c>
      <c r="E426" s="25" t="s">
        <v>100</v>
      </c>
      <c r="F426" s="82">
        <v>0</v>
      </c>
      <c r="G426" s="100"/>
      <c r="H426" s="510">
        <f t="shared" si="7"/>
        <v>0</v>
      </c>
      <c r="I426" s="90"/>
    </row>
    <row r="427" spans="1:9">
      <c r="A427" s="25" t="s">
        <v>1054</v>
      </c>
      <c r="B427" s="25" t="s">
        <v>1055</v>
      </c>
      <c r="C427" s="25" t="s">
        <v>872</v>
      </c>
      <c r="D427" s="25" t="s">
        <v>162</v>
      </c>
      <c r="E427" s="25" t="s">
        <v>100</v>
      </c>
      <c r="F427" s="82">
        <v>-2783404.66</v>
      </c>
      <c r="G427" s="100"/>
      <c r="H427" s="93">
        <f t="shared" si="7"/>
        <v>-2783404.66</v>
      </c>
      <c r="I427" s="90"/>
    </row>
    <row r="428" spans="1:9">
      <c r="A428" s="53" t="s">
        <v>1056</v>
      </c>
      <c r="B428" s="53" t="s">
        <v>2178</v>
      </c>
      <c r="C428" s="53" t="s">
        <v>872</v>
      </c>
      <c r="D428" s="53" t="s">
        <v>157</v>
      </c>
      <c r="E428" s="53" t="s">
        <v>100</v>
      </c>
      <c r="F428" s="85">
        <v>0</v>
      </c>
      <c r="G428" s="86"/>
      <c r="H428" s="510"/>
      <c r="I428" s="90"/>
    </row>
    <row r="429" spans="1:9">
      <c r="A429" s="25" t="s">
        <v>1058</v>
      </c>
      <c r="B429" s="25" t="s">
        <v>1031</v>
      </c>
      <c r="C429" s="25" t="s">
        <v>872</v>
      </c>
      <c r="D429" s="25" t="s">
        <v>162</v>
      </c>
      <c r="E429" s="25" t="s">
        <v>100</v>
      </c>
      <c r="F429" s="82">
        <v>-556552.31000000006</v>
      </c>
      <c r="G429" s="100"/>
      <c r="H429" s="93">
        <f t="shared" si="7"/>
        <v>-556552.31000000006</v>
      </c>
      <c r="I429" s="90"/>
    </row>
    <row r="430" spans="1:9">
      <c r="A430" s="25" t="s">
        <v>1059</v>
      </c>
      <c r="B430" s="25" t="s">
        <v>1060</v>
      </c>
      <c r="C430" s="25" t="s">
        <v>872</v>
      </c>
      <c r="D430" s="25" t="s">
        <v>162</v>
      </c>
      <c r="E430" s="25" t="s">
        <v>100</v>
      </c>
      <c r="F430" s="82">
        <v>0</v>
      </c>
      <c r="G430" s="100"/>
      <c r="H430" s="93">
        <f t="shared" si="7"/>
        <v>0</v>
      </c>
      <c r="I430" s="90"/>
    </row>
    <row r="431" spans="1:9">
      <c r="A431" s="25" t="s">
        <v>1061</v>
      </c>
      <c r="B431" s="25" t="s">
        <v>1062</v>
      </c>
      <c r="C431" s="25" t="s">
        <v>872</v>
      </c>
      <c r="D431" s="25" t="s">
        <v>162</v>
      </c>
      <c r="E431" s="25" t="s">
        <v>100</v>
      </c>
      <c r="F431" s="82">
        <v>2782.76</v>
      </c>
      <c r="G431" s="100"/>
      <c r="H431" s="93">
        <f t="shared" si="7"/>
        <v>2782.76</v>
      </c>
      <c r="I431" s="90"/>
    </row>
    <row r="432" spans="1:9">
      <c r="A432" s="53" t="s">
        <v>1063</v>
      </c>
      <c r="B432" s="53" t="s">
        <v>2179</v>
      </c>
      <c r="C432" s="53" t="s">
        <v>872</v>
      </c>
      <c r="D432" s="53" t="s">
        <v>169</v>
      </c>
      <c r="E432" s="53" t="s">
        <v>1065</v>
      </c>
      <c r="F432" s="85">
        <v>-553769.55000000005</v>
      </c>
      <c r="G432" s="86"/>
      <c r="H432" s="510"/>
      <c r="I432" s="90"/>
    </row>
    <row r="433" spans="1:10">
      <c r="A433" s="53" t="s">
        <v>1066</v>
      </c>
      <c r="B433" s="53" t="s">
        <v>1067</v>
      </c>
      <c r="C433" s="53" t="s">
        <v>872</v>
      </c>
      <c r="D433" s="53" t="s">
        <v>169</v>
      </c>
      <c r="E433" s="53" t="s">
        <v>1068</v>
      </c>
      <c r="F433" s="85">
        <v>-3396361.67</v>
      </c>
      <c r="G433" s="86"/>
      <c r="H433" s="510"/>
      <c r="I433" s="155"/>
      <c r="J433" s="90"/>
    </row>
    <row r="434" spans="1:10">
      <c r="A434" s="53" t="s">
        <v>1069</v>
      </c>
      <c r="B434" s="53" t="s">
        <v>1070</v>
      </c>
      <c r="C434" s="53" t="s">
        <v>872</v>
      </c>
      <c r="D434" s="53" t="s">
        <v>169</v>
      </c>
      <c r="E434" s="53" t="s">
        <v>1071</v>
      </c>
      <c r="F434" s="85">
        <v>-56602353.409999996</v>
      </c>
      <c r="G434" s="86"/>
      <c r="H434" s="510"/>
      <c r="I434" s="155"/>
      <c r="J434" s="155"/>
    </row>
    <row r="435" spans="1:10">
      <c r="A435" s="53" t="s">
        <v>1072</v>
      </c>
      <c r="B435" s="53" t="s">
        <v>1073</v>
      </c>
      <c r="C435" s="53" t="s">
        <v>872</v>
      </c>
      <c r="D435" s="53" t="s">
        <v>157</v>
      </c>
      <c r="E435" s="53" t="s">
        <v>100</v>
      </c>
      <c r="F435" s="85">
        <v>0</v>
      </c>
      <c r="G435" s="86"/>
      <c r="H435" s="510"/>
      <c r="I435" s="90"/>
      <c r="J435" s="90"/>
    </row>
    <row r="436" spans="1:10">
      <c r="A436" s="25" t="s">
        <v>1074</v>
      </c>
      <c r="B436" s="25" t="s">
        <v>1075</v>
      </c>
      <c r="C436" s="25" t="s">
        <v>872</v>
      </c>
      <c r="D436" s="25" t="s">
        <v>162</v>
      </c>
      <c r="E436" s="25" t="s">
        <v>100</v>
      </c>
      <c r="F436" s="82">
        <v>-150000</v>
      </c>
      <c r="G436" s="100"/>
      <c r="H436" s="510">
        <f t="shared" si="7"/>
        <v>-150000</v>
      </c>
      <c r="I436" s="90"/>
      <c r="J436" s="90"/>
    </row>
    <row r="437" spans="1:10">
      <c r="A437" s="25" t="s">
        <v>1076</v>
      </c>
      <c r="B437" s="25" t="s">
        <v>1077</v>
      </c>
      <c r="C437" s="25" t="s">
        <v>872</v>
      </c>
      <c r="D437" s="25" t="s">
        <v>162</v>
      </c>
      <c r="E437" s="25" t="s">
        <v>100</v>
      </c>
      <c r="F437" s="82">
        <v>0</v>
      </c>
      <c r="G437" s="100"/>
      <c r="H437" s="510">
        <f t="shared" si="7"/>
        <v>0</v>
      </c>
      <c r="I437" s="90"/>
      <c r="J437" s="90"/>
    </row>
    <row r="438" spans="1:10">
      <c r="A438" s="25" t="s">
        <v>1078</v>
      </c>
      <c r="B438" s="25" t="s">
        <v>1079</v>
      </c>
      <c r="C438" s="25" t="s">
        <v>872</v>
      </c>
      <c r="D438" s="25" t="s">
        <v>162</v>
      </c>
      <c r="E438" s="25" t="s">
        <v>100</v>
      </c>
      <c r="F438" s="82">
        <v>-9706484.25</v>
      </c>
      <c r="G438" s="100"/>
      <c r="H438" s="510">
        <f t="shared" si="7"/>
        <v>-9706484.25</v>
      </c>
      <c r="I438" s="90"/>
      <c r="J438" s="90"/>
    </row>
    <row r="439" spans="1:10">
      <c r="A439" s="53" t="s">
        <v>1080</v>
      </c>
      <c r="B439" s="53" t="s">
        <v>1081</v>
      </c>
      <c r="C439" s="53" t="s">
        <v>872</v>
      </c>
      <c r="D439" s="53" t="s">
        <v>169</v>
      </c>
      <c r="E439" s="53" t="s">
        <v>1082</v>
      </c>
      <c r="F439" s="85">
        <v>-9856484.25</v>
      </c>
      <c r="G439" s="86"/>
      <c r="H439" s="510"/>
      <c r="I439" s="90"/>
      <c r="J439" s="90"/>
    </row>
    <row r="440" spans="1:10">
      <c r="A440" s="53" t="s">
        <v>1083</v>
      </c>
      <c r="B440" s="53" t="s">
        <v>1084</v>
      </c>
      <c r="C440" s="53" t="s">
        <v>872</v>
      </c>
      <c r="D440" s="53" t="s">
        <v>157</v>
      </c>
      <c r="E440" s="53" t="s">
        <v>100</v>
      </c>
      <c r="F440" s="85">
        <v>0</v>
      </c>
      <c r="G440" s="86"/>
      <c r="H440" s="510"/>
      <c r="I440" s="90"/>
      <c r="J440" s="90"/>
    </row>
    <row r="441" spans="1:10">
      <c r="A441" s="53" t="s">
        <v>1085</v>
      </c>
      <c r="B441" s="53" t="s">
        <v>1086</v>
      </c>
      <c r="C441" s="53" t="s">
        <v>872</v>
      </c>
      <c r="D441" s="53" t="s">
        <v>157</v>
      </c>
      <c r="E441" s="53" t="s">
        <v>100</v>
      </c>
      <c r="F441" s="85">
        <v>0</v>
      </c>
      <c r="G441" s="86"/>
      <c r="H441" s="510"/>
      <c r="I441" s="90"/>
      <c r="J441" s="90"/>
    </row>
    <row r="442" spans="1:10">
      <c r="A442" s="25" t="s">
        <v>1087</v>
      </c>
      <c r="B442" s="25" t="s">
        <v>1088</v>
      </c>
      <c r="C442" s="25" t="s">
        <v>872</v>
      </c>
      <c r="D442" s="25" t="s">
        <v>162</v>
      </c>
      <c r="E442" s="25" t="s">
        <v>100</v>
      </c>
      <c r="F442" s="82">
        <v>-477184.17</v>
      </c>
      <c r="G442" s="100"/>
      <c r="H442" s="93">
        <f t="shared" si="7"/>
        <v>-477184.17</v>
      </c>
      <c r="I442" s="90"/>
      <c r="J442" s="90"/>
    </row>
    <row r="443" spans="1:10">
      <c r="A443" s="53" t="s">
        <v>1089</v>
      </c>
      <c r="B443" s="53" t="s">
        <v>1090</v>
      </c>
      <c r="C443" s="53" t="s">
        <v>872</v>
      </c>
      <c r="D443" s="53" t="s">
        <v>169</v>
      </c>
      <c r="E443" s="53" t="s">
        <v>1091</v>
      </c>
      <c r="F443" s="85">
        <v>-477184.17</v>
      </c>
      <c r="G443" s="86"/>
      <c r="H443" s="510"/>
      <c r="I443" s="90"/>
      <c r="J443" s="90"/>
    </row>
    <row r="444" spans="1:10">
      <c r="A444" s="53" t="s">
        <v>1092</v>
      </c>
      <c r="B444" s="53" t="s">
        <v>1093</v>
      </c>
      <c r="C444" s="53" t="s">
        <v>872</v>
      </c>
      <c r="D444" s="53" t="s">
        <v>157</v>
      </c>
      <c r="E444" s="53" t="s">
        <v>100</v>
      </c>
      <c r="F444" s="85">
        <v>0</v>
      </c>
      <c r="G444" s="86"/>
      <c r="H444" s="510"/>
      <c r="I444" s="90"/>
      <c r="J444" s="90"/>
    </row>
    <row r="445" spans="1:10">
      <c r="A445" s="53" t="s">
        <v>1094</v>
      </c>
      <c r="B445" s="53" t="s">
        <v>1095</v>
      </c>
      <c r="C445" s="53" t="s">
        <v>872</v>
      </c>
      <c r="D445" s="53" t="s">
        <v>157</v>
      </c>
      <c r="E445" s="53" t="s">
        <v>100</v>
      </c>
      <c r="F445" s="85">
        <v>0</v>
      </c>
      <c r="G445" s="86"/>
      <c r="H445" s="510"/>
      <c r="I445" s="90"/>
      <c r="J445" s="90"/>
    </row>
    <row r="446" spans="1:10">
      <c r="A446" s="25" t="s">
        <v>1096</v>
      </c>
      <c r="B446" s="25" t="s">
        <v>1097</v>
      </c>
      <c r="C446" s="25" t="s">
        <v>872</v>
      </c>
      <c r="D446" s="25" t="s">
        <v>162</v>
      </c>
      <c r="E446" s="25" t="s">
        <v>100</v>
      </c>
      <c r="F446" s="82">
        <v>0</v>
      </c>
      <c r="G446" s="100"/>
      <c r="H446" s="93">
        <f t="shared" si="7"/>
        <v>0</v>
      </c>
      <c r="I446" s="90"/>
      <c r="J446" s="90"/>
    </row>
    <row r="447" spans="1:10">
      <c r="A447" s="25" t="s">
        <v>1098</v>
      </c>
      <c r="B447" s="25" t="s">
        <v>1099</v>
      </c>
      <c r="C447" s="25" t="s">
        <v>872</v>
      </c>
      <c r="D447" s="25" t="s">
        <v>162</v>
      </c>
      <c r="E447" s="25" t="s">
        <v>100</v>
      </c>
      <c r="F447" s="82">
        <v>0</v>
      </c>
      <c r="G447" s="100"/>
      <c r="H447" s="93">
        <f t="shared" si="7"/>
        <v>0</v>
      </c>
      <c r="I447" s="90"/>
      <c r="J447" s="90"/>
    </row>
    <row r="448" spans="1:10">
      <c r="A448" s="53" t="s">
        <v>1100</v>
      </c>
      <c r="B448" s="53" t="s">
        <v>1101</v>
      </c>
      <c r="C448" s="53" t="s">
        <v>872</v>
      </c>
      <c r="D448" s="53" t="s">
        <v>169</v>
      </c>
      <c r="E448" s="53" t="s">
        <v>1102</v>
      </c>
      <c r="F448" s="85">
        <v>0</v>
      </c>
      <c r="G448" s="86"/>
      <c r="H448" s="93"/>
      <c r="I448" s="90"/>
      <c r="J448" s="90"/>
    </row>
    <row r="449" spans="1:8">
      <c r="A449" s="53" t="s">
        <v>1103</v>
      </c>
      <c r="B449" s="53" t="s">
        <v>1104</v>
      </c>
      <c r="C449" s="53" t="s">
        <v>872</v>
      </c>
      <c r="D449" s="53" t="s">
        <v>157</v>
      </c>
      <c r="E449" s="53" t="s">
        <v>100</v>
      </c>
      <c r="F449" s="85">
        <v>0</v>
      </c>
      <c r="G449" s="86"/>
      <c r="H449" s="93"/>
    </row>
    <row r="450" spans="1:8">
      <c r="A450" s="53" t="s">
        <v>1105</v>
      </c>
      <c r="B450" s="53" t="s">
        <v>155</v>
      </c>
      <c r="C450" s="53" t="s">
        <v>872</v>
      </c>
      <c r="D450" s="53" t="s">
        <v>157</v>
      </c>
      <c r="E450" s="53" t="s">
        <v>100</v>
      </c>
      <c r="F450" s="85">
        <v>0</v>
      </c>
      <c r="G450" s="86"/>
      <c r="H450" s="93"/>
    </row>
    <row r="451" spans="1:8">
      <c r="A451" s="25" t="s">
        <v>1106</v>
      </c>
      <c r="B451" s="25" t="s">
        <v>1107</v>
      </c>
      <c r="C451" s="25" t="s">
        <v>872</v>
      </c>
      <c r="D451" s="25" t="s">
        <v>162</v>
      </c>
      <c r="E451" s="25" t="s">
        <v>100</v>
      </c>
      <c r="F451" s="82">
        <v>-217687.55</v>
      </c>
      <c r="G451" s="100"/>
      <c r="H451" s="93">
        <f t="shared" si="7"/>
        <v>-217687.55</v>
      </c>
    </row>
    <row r="452" spans="1:8">
      <c r="A452" s="25" t="s">
        <v>1108</v>
      </c>
      <c r="B452" s="25" t="s">
        <v>440</v>
      </c>
      <c r="C452" s="25" t="s">
        <v>872</v>
      </c>
      <c r="D452" s="25" t="s">
        <v>162</v>
      </c>
      <c r="E452" s="25" t="s">
        <v>100</v>
      </c>
      <c r="F452" s="82">
        <v>0</v>
      </c>
      <c r="G452" s="100"/>
      <c r="H452" s="93">
        <f t="shared" si="7"/>
        <v>0</v>
      </c>
    </row>
    <row r="453" spans="1:8">
      <c r="A453" s="25" t="s">
        <v>1109</v>
      </c>
      <c r="B453" s="25" t="s">
        <v>1110</v>
      </c>
      <c r="C453" s="25" t="s">
        <v>872</v>
      </c>
      <c r="D453" s="25" t="s">
        <v>162</v>
      </c>
      <c r="E453" s="25" t="s">
        <v>100</v>
      </c>
      <c r="F453" s="82">
        <v>-6126</v>
      </c>
      <c r="G453" s="100"/>
      <c r="H453" s="93">
        <f t="shared" si="7"/>
        <v>-6126</v>
      </c>
    </row>
    <row r="454" spans="1:8">
      <c r="A454" s="25" t="s">
        <v>1111</v>
      </c>
      <c r="B454" s="25" t="s">
        <v>481</v>
      </c>
      <c r="C454" s="25" t="s">
        <v>872</v>
      </c>
      <c r="D454" s="25" t="s">
        <v>162</v>
      </c>
      <c r="E454" s="25" t="s">
        <v>100</v>
      </c>
      <c r="F454" s="82">
        <v>155000</v>
      </c>
      <c r="G454" s="100"/>
      <c r="H454" s="93">
        <f t="shared" si="7"/>
        <v>155000</v>
      </c>
    </row>
    <row r="455" spans="1:8">
      <c r="A455" s="53" t="s">
        <v>1112</v>
      </c>
      <c r="B455" s="53" t="s">
        <v>278</v>
      </c>
      <c r="C455" s="53" t="s">
        <v>872</v>
      </c>
      <c r="D455" s="53" t="s">
        <v>169</v>
      </c>
      <c r="E455" s="53" t="s">
        <v>1113</v>
      </c>
      <c r="F455" s="85">
        <v>-68813.55</v>
      </c>
      <c r="G455" s="86"/>
      <c r="H455" s="93"/>
    </row>
    <row r="456" spans="1:8">
      <c r="A456" s="53" t="s">
        <v>1114</v>
      </c>
      <c r="B456" s="53" t="s">
        <v>1115</v>
      </c>
      <c r="C456" s="53" t="s">
        <v>872</v>
      </c>
      <c r="D456" s="53" t="s">
        <v>157</v>
      </c>
      <c r="E456" s="53" t="s">
        <v>100</v>
      </c>
      <c r="F456" s="85">
        <v>0</v>
      </c>
      <c r="G456" s="86"/>
      <c r="H456" s="93"/>
    </row>
    <row r="457" spans="1:8">
      <c r="A457" s="25" t="s">
        <v>1116</v>
      </c>
      <c r="B457" s="25" t="s">
        <v>220</v>
      </c>
      <c r="C457" s="25" t="s">
        <v>872</v>
      </c>
      <c r="D457" s="25" t="s">
        <v>162</v>
      </c>
      <c r="E457" s="25" t="s">
        <v>100</v>
      </c>
      <c r="F457" s="82">
        <v>0</v>
      </c>
      <c r="G457" s="100"/>
      <c r="H457" s="93">
        <f t="shared" si="7"/>
        <v>0</v>
      </c>
    </row>
    <row r="458" spans="1:8">
      <c r="A458" s="25" t="s">
        <v>1117</v>
      </c>
      <c r="B458" s="25" t="s">
        <v>1118</v>
      </c>
      <c r="C458" s="25" t="s">
        <v>872</v>
      </c>
      <c r="D458" s="25" t="s">
        <v>162</v>
      </c>
      <c r="E458" s="25" t="s">
        <v>100</v>
      </c>
      <c r="F458" s="82">
        <v>1979.51</v>
      </c>
      <c r="G458" s="100"/>
      <c r="H458" s="93">
        <f t="shared" si="7"/>
        <v>1979.51</v>
      </c>
    </row>
    <row r="459" spans="1:8">
      <c r="A459" s="25" t="s">
        <v>1119</v>
      </c>
      <c r="B459" s="25" t="s">
        <v>1120</v>
      </c>
      <c r="C459" s="25" t="s">
        <v>872</v>
      </c>
      <c r="D459" s="25" t="s">
        <v>162</v>
      </c>
      <c r="E459" s="25" t="s">
        <v>100</v>
      </c>
      <c r="F459" s="82">
        <v>0</v>
      </c>
      <c r="G459" s="100"/>
      <c r="H459" s="93">
        <f t="shared" si="7"/>
        <v>0</v>
      </c>
    </row>
    <row r="460" spans="1:8">
      <c r="A460" s="25" t="s">
        <v>1121</v>
      </c>
      <c r="B460" s="25" t="s">
        <v>1122</v>
      </c>
      <c r="C460" s="25" t="s">
        <v>872</v>
      </c>
      <c r="D460" s="25" t="s">
        <v>162</v>
      </c>
      <c r="E460" s="25" t="s">
        <v>100</v>
      </c>
      <c r="F460" s="82">
        <v>0</v>
      </c>
      <c r="G460" s="100"/>
      <c r="H460" s="93">
        <f t="shared" si="7"/>
        <v>0</v>
      </c>
    </row>
    <row r="461" spans="1:8">
      <c r="A461" s="25" t="s">
        <v>1123</v>
      </c>
      <c r="B461" s="25" t="s">
        <v>1124</v>
      </c>
      <c r="C461" s="25" t="s">
        <v>872</v>
      </c>
      <c r="D461" s="25" t="s">
        <v>162</v>
      </c>
      <c r="E461" s="25" t="s">
        <v>100</v>
      </c>
      <c r="F461" s="82">
        <v>0</v>
      </c>
      <c r="G461" s="100"/>
      <c r="H461" s="93">
        <f t="shared" si="7"/>
        <v>0</v>
      </c>
    </row>
    <row r="462" spans="1:8">
      <c r="A462" s="25" t="s">
        <v>1125</v>
      </c>
      <c r="B462" s="25" t="s">
        <v>1126</v>
      </c>
      <c r="C462" s="25" t="s">
        <v>872</v>
      </c>
      <c r="D462" s="25" t="s">
        <v>162</v>
      </c>
      <c r="E462" s="25" t="s">
        <v>100</v>
      </c>
      <c r="F462" s="82">
        <v>0</v>
      </c>
      <c r="G462" s="100"/>
      <c r="H462" s="93">
        <f t="shared" si="7"/>
        <v>0</v>
      </c>
    </row>
    <row r="463" spans="1:8">
      <c r="A463" s="25" t="s">
        <v>1127</v>
      </c>
      <c r="B463" s="25" t="s">
        <v>1128</v>
      </c>
      <c r="C463" s="25" t="s">
        <v>872</v>
      </c>
      <c r="D463" s="25" t="s">
        <v>162</v>
      </c>
      <c r="E463" s="25" t="s">
        <v>100</v>
      </c>
      <c r="F463" s="82">
        <v>0</v>
      </c>
      <c r="G463" s="100"/>
      <c r="H463" s="93">
        <f t="shared" si="7"/>
        <v>0</v>
      </c>
    </row>
    <row r="464" spans="1:8">
      <c r="A464" s="25" t="s">
        <v>1129</v>
      </c>
      <c r="B464" s="25" t="s">
        <v>1130</v>
      </c>
      <c r="C464" s="25" t="s">
        <v>872</v>
      </c>
      <c r="D464" s="25" t="s">
        <v>162</v>
      </c>
      <c r="E464" s="25" t="s">
        <v>100</v>
      </c>
      <c r="F464" s="82">
        <v>0</v>
      </c>
      <c r="G464" s="100"/>
      <c r="H464" s="93">
        <f t="shared" si="7"/>
        <v>0</v>
      </c>
    </row>
    <row r="465" spans="1:8">
      <c r="A465" s="25" t="s">
        <v>1131</v>
      </c>
      <c r="B465" s="25" t="s">
        <v>1132</v>
      </c>
      <c r="C465" s="25" t="s">
        <v>872</v>
      </c>
      <c r="D465" s="25" t="s">
        <v>162</v>
      </c>
      <c r="E465" s="25" t="s">
        <v>100</v>
      </c>
      <c r="F465" s="82">
        <v>0</v>
      </c>
      <c r="G465" s="100"/>
      <c r="H465" s="93">
        <f t="shared" si="7"/>
        <v>0</v>
      </c>
    </row>
    <row r="466" spans="1:8">
      <c r="A466" s="25" t="s">
        <v>1133</v>
      </c>
      <c r="B466" s="25" t="s">
        <v>1134</v>
      </c>
      <c r="C466" s="25" t="s">
        <v>872</v>
      </c>
      <c r="D466" s="25" t="s">
        <v>162</v>
      </c>
      <c r="E466" s="25" t="s">
        <v>100</v>
      </c>
      <c r="F466" s="82">
        <v>0</v>
      </c>
      <c r="G466" s="100"/>
      <c r="H466" s="93">
        <f t="shared" si="7"/>
        <v>0</v>
      </c>
    </row>
    <row r="467" spans="1:8">
      <c r="A467" s="25" t="s">
        <v>1135</v>
      </c>
      <c r="B467" s="25" t="s">
        <v>1136</v>
      </c>
      <c r="C467" s="25" t="s">
        <v>872</v>
      </c>
      <c r="D467" s="25" t="s">
        <v>162</v>
      </c>
      <c r="E467" s="25" t="s">
        <v>100</v>
      </c>
      <c r="F467" s="82">
        <v>0</v>
      </c>
      <c r="G467" s="100"/>
      <c r="H467" s="93">
        <f t="shared" si="7"/>
        <v>0</v>
      </c>
    </row>
    <row r="468" spans="1:8">
      <c r="A468" s="25" t="s">
        <v>1137</v>
      </c>
      <c r="B468" s="25" t="s">
        <v>1138</v>
      </c>
      <c r="C468" s="25" t="s">
        <v>872</v>
      </c>
      <c r="D468" s="25" t="s">
        <v>162</v>
      </c>
      <c r="E468" s="25" t="s">
        <v>100</v>
      </c>
      <c r="F468" s="82">
        <v>0</v>
      </c>
      <c r="G468" s="100"/>
      <c r="H468" s="93">
        <f t="shared" si="7"/>
        <v>0</v>
      </c>
    </row>
    <row r="469" spans="1:8">
      <c r="A469" s="25" t="s">
        <v>1139</v>
      </c>
      <c r="B469" s="25" t="s">
        <v>1140</v>
      </c>
      <c r="C469" s="25" t="s">
        <v>872</v>
      </c>
      <c r="D469" s="25" t="s">
        <v>162</v>
      </c>
      <c r="E469" s="25" t="s">
        <v>100</v>
      </c>
      <c r="F469" s="82">
        <v>0</v>
      </c>
      <c r="G469" s="100"/>
      <c r="H469" s="93">
        <f t="shared" si="7"/>
        <v>0</v>
      </c>
    </row>
    <row r="470" spans="1:8">
      <c r="A470" s="25" t="s">
        <v>1141</v>
      </c>
      <c r="B470" s="25" t="s">
        <v>1142</v>
      </c>
      <c r="C470" s="25" t="s">
        <v>872</v>
      </c>
      <c r="D470" s="25" t="s">
        <v>162</v>
      </c>
      <c r="E470" s="25" t="s">
        <v>100</v>
      </c>
      <c r="F470" s="82">
        <v>0</v>
      </c>
      <c r="G470" s="100"/>
      <c r="H470" s="93">
        <f t="shared" si="7"/>
        <v>0</v>
      </c>
    </row>
    <row r="471" spans="1:8">
      <c r="A471" s="25" t="s">
        <v>1143</v>
      </c>
      <c r="B471" s="25" t="s">
        <v>1144</v>
      </c>
      <c r="C471" s="25" t="s">
        <v>872</v>
      </c>
      <c r="D471" s="25" t="s">
        <v>162</v>
      </c>
      <c r="E471" s="25" t="s">
        <v>100</v>
      </c>
      <c r="F471" s="82">
        <v>0</v>
      </c>
      <c r="G471" s="100"/>
      <c r="H471" s="93">
        <f t="shared" si="7"/>
        <v>0</v>
      </c>
    </row>
    <row r="472" spans="1:8">
      <c r="A472" s="25" t="s">
        <v>1145</v>
      </c>
      <c r="B472" s="25" t="s">
        <v>1146</v>
      </c>
      <c r="C472" s="25" t="s">
        <v>872</v>
      </c>
      <c r="D472" s="25" t="s">
        <v>162</v>
      </c>
      <c r="E472" s="25" t="s">
        <v>100</v>
      </c>
      <c r="F472" s="82">
        <v>0</v>
      </c>
      <c r="G472" s="100"/>
      <c r="H472" s="93">
        <f t="shared" ref="H472:H535" si="8">F472</f>
        <v>0</v>
      </c>
    </row>
    <row r="473" spans="1:8">
      <c r="A473" s="25" t="s">
        <v>1147</v>
      </c>
      <c r="B473" s="25" t="s">
        <v>1148</v>
      </c>
      <c r="C473" s="25" t="s">
        <v>872</v>
      </c>
      <c r="D473" s="25" t="s">
        <v>162</v>
      </c>
      <c r="E473" s="25" t="s">
        <v>100</v>
      </c>
      <c r="F473" s="82">
        <v>0</v>
      </c>
      <c r="G473" s="100"/>
      <c r="H473" s="93">
        <f t="shared" si="8"/>
        <v>0</v>
      </c>
    </row>
    <row r="474" spans="1:8">
      <c r="A474" s="25" t="s">
        <v>1149</v>
      </c>
      <c r="B474" s="25" t="s">
        <v>1150</v>
      </c>
      <c r="C474" s="25" t="s">
        <v>872</v>
      </c>
      <c r="D474" s="25" t="s">
        <v>162</v>
      </c>
      <c r="E474" s="25" t="s">
        <v>100</v>
      </c>
      <c r="F474" s="82">
        <v>20000</v>
      </c>
      <c r="G474" s="100"/>
      <c r="H474" s="93">
        <f t="shared" si="8"/>
        <v>20000</v>
      </c>
    </row>
    <row r="475" spans="1:8">
      <c r="A475" s="53" t="s">
        <v>1151</v>
      </c>
      <c r="B475" s="53" t="s">
        <v>1152</v>
      </c>
      <c r="C475" s="53" t="s">
        <v>872</v>
      </c>
      <c r="D475" s="53" t="s">
        <v>169</v>
      </c>
      <c r="E475" s="53" t="s">
        <v>1153</v>
      </c>
      <c r="F475" s="85">
        <v>21979.51</v>
      </c>
      <c r="G475" s="86"/>
      <c r="H475" s="510"/>
    </row>
    <row r="476" spans="1:8">
      <c r="A476" s="53" t="s">
        <v>1154</v>
      </c>
      <c r="B476" s="53" t="s">
        <v>1155</v>
      </c>
      <c r="C476" s="53" t="s">
        <v>872</v>
      </c>
      <c r="D476" s="53" t="s">
        <v>169</v>
      </c>
      <c r="E476" s="53" t="s">
        <v>1156</v>
      </c>
      <c r="F476" s="85">
        <v>-46834.04</v>
      </c>
      <c r="G476" s="86"/>
      <c r="H476" s="510"/>
    </row>
    <row r="477" spans="1:8">
      <c r="A477" s="53" t="s">
        <v>1157</v>
      </c>
      <c r="B477" s="53" t="s">
        <v>1158</v>
      </c>
      <c r="C477" s="53" t="s">
        <v>872</v>
      </c>
      <c r="D477" s="53" t="s">
        <v>169</v>
      </c>
      <c r="E477" s="53" t="s">
        <v>1159</v>
      </c>
      <c r="F477" s="85">
        <v>-46834.04</v>
      </c>
      <c r="G477" s="86"/>
      <c r="H477" s="510"/>
    </row>
    <row r="478" spans="1:8">
      <c r="A478" s="53" t="s">
        <v>1160</v>
      </c>
      <c r="B478" s="53" t="s">
        <v>1161</v>
      </c>
      <c r="C478" s="53" t="s">
        <v>872</v>
      </c>
      <c r="D478" s="53" t="s">
        <v>157</v>
      </c>
      <c r="E478" s="53" t="s">
        <v>100</v>
      </c>
      <c r="F478" s="85">
        <v>0</v>
      </c>
      <c r="G478" s="86"/>
      <c r="H478" s="510"/>
    </row>
    <row r="479" spans="1:8">
      <c r="A479" s="25" t="s">
        <v>1162</v>
      </c>
      <c r="B479" s="25" t="s">
        <v>1163</v>
      </c>
      <c r="C479" s="25" t="s">
        <v>872</v>
      </c>
      <c r="D479" s="25" t="s">
        <v>162</v>
      </c>
      <c r="E479" s="25" t="s">
        <v>100</v>
      </c>
      <c r="F479" s="82">
        <v>-42562.5</v>
      </c>
      <c r="G479" s="100"/>
      <c r="H479" s="510">
        <f t="shared" si="8"/>
        <v>-42562.5</v>
      </c>
    </row>
    <row r="480" spans="1:8">
      <c r="A480" s="25" t="s">
        <v>1164</v>
      </c>
      <c r="B480" s="25" t="s">
        <v>1165</v>
      </c>
      <c r="C480" s="25" t="s">
        <v>872</v>
      </c>
      <c r="D480" s="25" t="s">
        <v>162</v>
      </c>
      <c r="E480" s="25" t="s">
        <v>100</v>
      </c>
      <c r="F480" s="82">
        <v>-920</v>
      </c>
      <c r="G480" s="100"/>
      <c r="H480" s="510">
        <f t="shared" si="8"/>
        <v>-920</v>
      </c>
    </row>
    <row r="481" spans="1:10">
      <c r="A481" s="25" t="s">
        <v>1166</v>
      </c>
      <c r="B481" s="25" t="s">
        <v>1167</v>
      </c>
      <c r="C481" s="25" t="s">
        <v>872</v>
      </c>
      <c r="D481" s="25" t="s">
        <v>162</v>
      </c>
      <c r="E481" s="25" t="s">
        <v>100</v>
      </c>
      <c r="F481" s="82">
        <v>-2122</v>
      </c>
      <c r="G481" s="100"/>
      <c r="H481" s="510">
        <f t="shared" si="8"/>
        <v>-2122</v>
      </c>
      <c r="I481" s="90"/>
      <c r="J481" s="90"/>
    </row>
    <row r="482" spans="1:10">
      <c r="A482" s="25" t="s">
        <v>1168</v>
      </c>
      <c r="B482" s="25" t="s">
        <v>1169</v>
      </c>
      <c r="C482" s="25" t="s">
        <v>872</v>
      </c>
      <c r="D482" s="25" t="s">
        <v>162</v>
      </c>
      <c r="E482" s="25" t="s">
        <v>100</v>
      </c>
      <c r="F482" s="82">
        <v>0</v>
      </c>
      <c r="G482" s="100"/>
      <c r="H482" s="510">
        <f t="shared" si="8"/>
        <v>0</v>
      </c>
      <c r="I482" s="90"/>
      <c r="J482" s="90"/>
    </row>
    <row r="483" spans="1:10">
      <c r="A483" s="25" t="s">
        <v>1170</v>
      </c>
      <c r="B483" s="25" t="s">
        <v>1171</v>
      </c>
      <c r="C483" s="25" t="s">
        <v>872</v>
      </c>
      <c r="D483" s="25" t="s">
        <v>162</v>
      </c>
      <c r="E483" s="25" t="s">
        <v>100</v>
      </c>
      <c r="F483" s="82">
        <v>-10200</v>
      </c>
      <c r="G483" s="100"/>
      <c r="H483" s="510">
        <f t="shared" si="8"/>
        <v>-10200</v>
      </c>
      <c r="I483" s="90"/>
      <c r="J483" s="90"/>
    </row>
    <row r="484" spans="1:10">
      <c r="A484" s="25" t="s">
        <v>1172</v>
      </c>
      <c r="B484" s="25" t="s">
        <v>1173</v>
      </c>
      <c r="C484" s="25" t="s">
        <v>872</v>
      </c>
      <c r="D484" s="25" t="s">
        <v>162</v>
      </c>
      <c r="E484" s="25" t="s">
        <v>100</v>
      </c>
      <c r="F484" s="82">
        <v>-18650</v>
      </c>
      <c r="G484" s="100"/>
      <c r="H484" s="510">
        <f t="shared" si="8"/>
        <v>-18650</v>
      </c>
      <c r="I484" s="90"/>
      <c r="J484" s="90"/>
    </row>
    <row r="485" spans="1:10">
      <c r="A485" s="25" t="s">
        <v>1174</v>
      </c>
      <c r="B485" s="25" t="s">
        <v>1175</v>
      </c>
      <c r="C485" s="25" t="s">
        <v>872</v>
      </c>
      <c r="D485" s="25" t="s">
        <v>162</v>
      </c>
      <c r="E485" s="25" t="s">
        <v>100</v>
      </c>
      <c r="F485" s="82">
        <v>-6090</v>
      </c>
      <c r="G485" s="100"/>
      <c r="H485" s="510">
        <f t="shared" si="8"/>
        <v>-6090</v>
      </c>
      <c r="I485" s="90"/>
      <c r="J485" s="90"/>
    </row>
    <row r="486" spans="1:10">
      <c r="A486" s="25" t="s">
        <v>1176</v>
      </c>
      <c r="B486" s="25" t="s">
        <v>1177</v>
      </c>
      <c r="C486" s="25" t="s">
        <v>872</v>
      </c>
      <c r="D486" s="25" t="s">
        <v>162</v>
      </c>
      <c r="E486" s="25" t="s">
        <v>100</v>
      </c>
      <c r="F486" s="82">
        <v>360</v>
      </c>
      <c r="G486" s="100"/>
      <c r="H486" s="510">
        <f t="shared" si="8"/>
        <v>360</v>
      </c>
      <c r="I486" s="90"/>
      <c r="J486" s="155">
        <f>+H479+H480+H481+H482+H483+H484+H485+H486+H487+H498+H503+H504+H505+H506+H507+H511+H513+H514+H517+H597+H601+H603+H608+H610+H611+H612+H369</f>
        <v>-3266058.57</v>
      </c>
    </row>
    <row r="487" spans="1:10">
      <c r="A487" s="25" t="s">
        <v>1178</v>
      </c>
      <c r="B487" s="25" t="s">
        <v>1179</v>
      </c>
      <c r="C487" s="25" t="s">
        <v>872</v>
      </c>
      <c r="D487" s="25" t="s">
        <v>162</v>
      </c>
      <c r="E487" s="25" t="s">
        <v>100</v>
      </c>
      <c r="F487" s="82">
        <v>430.08</v>
      </c>
      <c r="G487" s="100"/>
      <c r="H487" s="510">
        <f t="shared" si="8"/>
        <v>430.08</v>
      </c>
      <c r="I487" s="155">
        <f>SUM(H479:H487)</f>
        <v>-79754.42</v>
      </c>
      <c r="J487" s="90"/>
    </row>
    <row r="488" spans="1:10">
      <c r="A488" s="25" t="s">
        <v>1180</v>
      </c>
      <c r="B488" s="25" t="s">
        <v>1181</v>
      </c>
      <c r="C488" s="25" t="s">
        <v>872</v>
      </c>
      <c r="D488" s="25" t="s">
        <v>162</v>
      </c>
      <c r="E488" s="25" t="s">
        <v>100</v>
      </c>
      <c r="F488" s="82">
        <v>-2782.76</v>
      </c>
      <c r="G488" s="100"/>
      <c r="H488" s="93">
        <f t="shared" si="8"/>
        <v>-2782.76</v>
      </c>
      <c r="I488" s="90"/>
      <c r="J488" s="90"/>
    </row>
    <row r="489" spans="1:10">
      <c r="A489" s="25" t="s">
        <v>1182</v>
      </c>
      <c r="B489" s="25" t="s">
        <v>2222</v>
      </c>
      <c r="C489" s="25" t="s">
        <v>872</v>
      </c>
      <c r="D489" s="25" t="s">
        <v>162</v>
      </c>
      <c r="E489" s="25" t="s">
        <v>100</v>
      </c>
      <c r="F489" s="82">
        <v>49198.92</v>
      </c>
      <c r="G489" s="100"/>
      <c r="H489" s="93">
        <f t="shared" si="8"/>
        <v>49198.92</v>
      </c>
      <c r="I489" s="90"/>
      <c r="J489" s="90"/>
    </row>
    <row r="490" spans="1:10">
      <c r="A490" s="25" t="s">
        <v>1186</v>
      </c>
      <c r="B490" s="25" t="s">
        <v>1187</v>
      </c>
      <c r="C490" s="25" t="s">
        <v>872</v>
      </c>
      <c r="D490" s="25" t="s">
        <v>162</v>
      </c>
      <c r="E490" s="25" t="s">
        <v>100</v>
      </c>
      <c r="F490" s="82">
        <v>0</v>
      </c>
      <c r="G490" s="100"/>
      <c r="H490" s="93">
        <f t="shared" si="8"/>
        <v>0</v>
      </c>
      <c r="I490" s="90"/>
      <c r="J490" s="90"/>
    </row>
    <row r="491" spans="1:10">
      <c r="A491" s="25" t="s">
        <v>1188</v>
      </c>
      <c r="B491" s="25" t="s">
        <v>2180</v>
      </c>
      <c r="C491" s="25" t="s">
        <v>872</v>
      </c>
      <c r="D491" s="25" t="s">
        <v>162</v>
      </c>
      <c r="E491" s="25" t="s">
        <v>100</v>
      </c>
      <c r="F491" s="82">
        <v>0</v>
      </c>
      <c r="G491" s="100"/>
      <c r="H491" s="93">
        <f t="shared" si="8"/>
        <v>0</v>
      </c>
      <c r="I491" s="90"/>
      <c r="J491" s="90"/>
    </row>
    <row r="492" spans="1:10">
      <c r="A492" s="25" t="s">
        <v>1190</v>
      </c>
      <c r="B492" s="25" t="s">
        <v>1191</v>
      </c>
      <c r="C492" s="25" t="s">
        <v>872</v>
      </c>
      <c r="D492" s="25" t="s">
        <v>162</v>
      </c>
      <c r="E492" s="25" t="s">
        <v>100</v>
      </c>
      <c r="F492" s="82">
        <v>-210749.81</v>
      </c>
      <c r="G492" s="100"/>
      <c r="H492" s="93">
        <f t="shared" si="8"/>
        <v>-210749.81</v>
      </c>
      <c r="I492" s="90"/>
      <c r="J492" s="90"/>
    </row>
    <row r="493" spans="1:10">
      <c r="A493" s="25" t="s">
        <v>1192</v>
      </c>
      <c r="B493" s="25" t="s">
        <v>1193</v>
      </c>
      <c r="C493" s="25" t="s">
        <v>872</v>
      </c>
      <c r="D493" s="25" t="s">
        <v>162</v>
      </c>
      <c r="E493" s="25" t="s">
        <v>100</v>
      </c>
      <c r="F493" s="82">
        <v>0</v>
      </c>
      <c r="G493" s="100"/>
      <c r="H493" s="510">
        <f t="shared" si="8"/>
        <v>0</v>
      </c>
      <c r="I493" s="90"/>
      <c r="J493" s="90"/>
    </row>
    <row r="494" spans="1:10">
      <c r="A494" s="25" t="s">
        <v>1194</v>
      </c>
      <c r="B494" s="25" t="s">
        <v>2181</v>
      </c>
      <c r="C494" s="25" t="s">
        <v>872</v>
      </c>
      <c r="D494" s="25" t="s">
        <v>162</v>
      </c>
      <c r="E494" s="25" t="s">
        <v>100</v>
      </c>
      <c r="F494" s="82">
        <v>0</v>
      </c>
      <c r="G494" s="100"/>
      <c r="H494" s="510">
        <f t="shared" si="8"/>
        <v>0</v>
      </c>
      <c r="I494" s="90"/>
      <c r="J494" s="90"/>
    </row>
    <row r="495" spans="1:10">
      <c r="A495" s="25" t="s">
        <v>1196</v>
      </c>
      <c r="B495" s="25" t="s">
        <v>2223</v>
      </c>
      <c r="C495" s="25" t="s">
        <v>872</v>
      </c>
      <c r="D495" s="25" t="s">
        <v>162</v>
      </c>
      <c r="E495" s="25" t="s">
        <v>100</v>
      </c>
      <c r="F495" s="82">
        <v>0</v>
      </c>
      <c r="G495" s="100"/>
      <c r="H495" s="510">
        <f t="shared" si="8"/>
        <v>0</v>
      </c>
      <c r="I495" s="90"/>
      <c r="J495" s="90"/>
    </row>
    <row r="496" spans="1:10">
      <c r="A496" s="53" t="s">
        <v>1200</v>
      </c>
      <c r="B496" s="53" t="s">
        <v>1201</v>
      </c>
      <c r="C496" s="53" t="s">
        <v>872</v>
      </c>
      <c r="D496" s="53" t="s">
        <v>169</v>
      </c>
      <c r="E496" s="53" t="s">
        <v>1202</v>
      </c>
      <c r="F496" s="85">
        <v>-244088.07</v>
      </c>
      <c r="G496" s="86"/>
      <c r="H496" s="510"/>
      <c r="I496" s="90"/>
      <c r="J496" s="90"/>
    </row>
    <row r="497" spans="1:9">
      <c r="A497" s="53" t="s">
        <v>1203</v>
      </c>
      <c r="B497" s="53" t="s">
        <v>1204</v>
      </c>
      <c r="C497" s="53" t="s">
        <v>872</v>
      </c>
      <c r="D497" s="53" t="s">
        <v>157</v>
      </c>
      <c r="E497" s="53" t="s">
        <v>100</v>
      </c>
      <c r="F497" s="85">
        <v>0</v>
      </c>
      <c r="G497" s="86"/>
      <c r="H497" s="510"/>
      <c r="I497" s="90"/>
    </row>
    <row r="498" spans="1:9">
      <c r="A498" s="25" t="s">
        <v>1205</v>
      </c>
      <c r="B498" s="25" t="s">
        <v>1206</v>
      </c>
      <c r="C498" s="25" t="s">
        <v>872</v>
      </c>
      <c r="D498" s="25" t="s">
        <v>162</v>
      </c>
      <c r="E498" s="25" t="s">
        <v>100</v>
      </c>
      <c r="F498" s="82">
        <v>-762432.2</v>
      </c>
      <c r="G498" s="100">
        <f>-12250-36814</f>
        <v>-49064</v>
      </c>
      <c r="H498" s="510">
        <f>F498+G498</f>
        <v>-811496.2</v>
      </c>
      <c r="I498" s="155">
        <f>+H498</f>
        <v>-811496.2</v>
      </c>
    </row>
    <row r="499" spans="1:9">
      <c r="A499" s="53" t="s">
        <v>1207</v>
      </c>
      <c r="B499" s="53" t="s">
        <v>1208</v>
      </c>
      <c r="C499" s="53" t="s">
        <v>872</v>
      </c>
      <c r="D499" s="53" t="s">
        <v>169</v>
      </c>
      <c r="E499" s="53" t="s">
        <v>1209</v>
      </c>
      <c r="F499" s="85">
        <v>-762432.2</v>
      </c>
      <c r="G499" s="86"/>
      <c r="H499" s="510"/>
      <c r="I499" s="90"/>
    </row>
    <row r="500" spans="1:9">
      <c r="A500" s="53" t="s">
        <v>1210</v>
      </c>
      <c r="B500" s="53" t="s">
        <v>1211</v>
      </c>
      <c r="C500" s="53" t="s">
        <v>872</v>
      </c>
      <c r="D500" s="53" t="s">
        <v>157</v>
      </c>
      <c r="E500" s="53" t="s">
        <v>100</v>
      </c>
      <c r="F500" s="85">
        <v>0</v>
      </c>
      <c r="G500" s="86"/>
      <c r="H500" s="510"/>
      <c r="I500" s="90"/>
    </row>
    <row r="501" spans="1:9">
      <c r="A501" s="25" t="s">
        <v>1212</v>
      </c>
      <c r="B501" s="25" t="s">
        <v>1213</v>
      </c>
      <c r="C501" s="25" t="s">
        <v>872</v>
      </c>
      <c r="D501" s="25" t="s">
        <v>162</v>
      </c>
      <c r="E501" s="25" t="s">
        <v>100</v>
      </c>
      <c r="F501" s="82">
        <v>0</v>
      </c>
      <c r="G501" s="100"/>
      <c r="H501" s="510">
        <f t="shared" si="8"/>
        <v>0</v>
      </c>
      <c r="I501" s="90"/>
    </row>
    <row r="502" spans="1:9">
      <c r="A502" s="25" t="s">
        <v>1214</v>
      </c>
      <c r="B502" s="25" t="s">
        <v>1215</v>
      </c>
      <c r="C502" s="25" t="s">
        <v>872</v>
      </c>
      <c r="D502" s="25" t="s">
        <v>162</v>
      </c>
      <c r="E502" s="25" t="s">
        <v>100</v>
      </c>
      <c r="F502" s="82">
        <v>0</v>
      </c>
      <c r="G502" s="100"/>
      <c r="H502" s="510">
        <f t="shared" si="8"/>
        <v>0</v>
      </c>
      <c r="I502" s="90"/>
    </row>
    <row r="503" spans="1:9">
      <c r="A503" s="25" t="s">
        <v>1216</v>
      </c>
      <c r="B503" s="25" t="s">
        <v>1217</v>
      </c>
      <c r="C503" s="25" t="s">
        <v>872</v>
      </c>
      <c r="D503" s="25" t="s">
        <v>162</v>
      </c>
      <c r="E503" s="25" t="s">
        <v>100</v>
      </c>
      <c r="F503" s="82">
        <v>-14115.32</v>
      </c>
      <c r="G503" s="100"/>
      <c r="H503" s="510">
        <f t="shared" si="8"/>
        <v>-14115.32</v>
      </c>
      <c r="I503" s="90"/>
    </row>
    <row r="504" spans="1:9">
      <c r="A504" s="25" t="s">
        <v>1218</v>
      </c>
      <c r="B504" s="25" t="s">
        <v>1219</v>
      </c>
      <c r="C504" s="25" t="s">
        <v>872</v>
      </c>
      <c r="D504" s="25" t="s">
        <v>162</v>
      </c>
      <c r="E504" s="25" t="s">
        <v>100</v>
      </c>
      <c r="F504" s="82">
        <v>-24720.48</v>
      </c>
      <c r="G504" s="100"/>
      <c r="H504" s="510">
        <f t="shared" si="8"/>
        <v>-24720.48</v>
      </c>
      <c r="I504" s="90"/>
    </row>
    <row r="505" spans="1:9">
      <c r="A505" s="25" t="s">
        <v>1220</v>
      </c>
      <c r="B505" s="25" t="s">
        <v>1221</v>
      </c>
      <c r="C505" s="25" t="s">
        <v>872</v>
      </c>
      <c r="D505" s="25" t="s">
        <v>162</v>
      </c>
      <c r="E505" s="25" t="s">
        <v>100</v>
      </c>
      <c r="F505" s="82">
        <v>-31750.42</v>
      </c>
      <c r="G505" s="100"/>
      <c r="H505" s="510">
        <f t="shared" si="8"/>
        <v>-31750.42</v>
      </c>
      <c r="I505" s="90"/>
    </row>
    <row r="506" spans="1:9">
      <c r="A506" s="25" t="s">
        <v>1222</v>
      </c>
      <c r="B506" s="25" t="s">
        <v>1223</v>
      </c>
      <c r="C506" s="25" t="s">
        <v>872</v>
      </c>
      <c r="D506" s="25" t="s">
        <v>162</v>
      </c>
      <c r="E506" s="25" t="s">
        <v>100</v>
      </c>
      <c r="F506" s="82">
        <v>-95064.42</v>
      </c>
      <c r="G506" s="100"/>
      <c r="H506" s="510">
        <f t="shared" si="8"/>
        <v>-95064.42</v>
      </c>
      <c r="I506" s="90"/>
    </row>
    <row r="507" spans="1:9">
      <c r="A507" s="25" t="s">
        <v>1224</v>
      </c>
      <c r="B507" s="25" t="s">
        <v>1225</v>
      </c>
      <c r="C507" s="25" t="s">
        <v>872</v>
      </c>
      <c r="D507" s="25" t="s">
        <v>162</v>
      </c>
      <c r="E507" s="25" t="s">
        <v>100</v>
      </c>
      <c r="F507" s="82">
        <v>73171</v>
      </c>
      <c r="G507" s="100"/>
      <c r="H507" s="510">
        <f t="shared" si="8"/>
        <v>73171</v>
      </c>
      <c r="I507" s="90"/>
    </row>
    <row r="508" spans="1:9">
      <c r="A508" s="25" t="s">
        <v>1226</v>
      </c>
      <c r="B508" s="25" t="s">
        <v>1227</v>
      </c>
      <c r="C508" s="25" t="s">
        <v>872</v>
      </c>
      <c r="D508" s="25" t="s">
        <v>162</v>
      </c>
      <c r="E508" s="25" t="s">
        <v>100</v>
      </c>
      <c r="F508" s="82">
        <v>0</v>
      </c>
      <c r="G508" s="100"/>
      <c r="H508" s="510">
        <f t="shared" si="8"/>
        <v>0</v>
      </c>
      <c r="I508" s="155">
        <f>SUM(H501:H508)</f>
        <v>-92479.640000000014</v>
      </c>
    </row>
    <row r="509" spans="1:9">
      <c r="A509" s="53" t="s">
        <v>1228</v>
      </c>
      <c r="B509" s="53" t="s">
        <v>1229</v>
      </c>
      <c r="C509" s="53" t="s">
        <v>872</v>
      </c>
      <c r="D509" s="53" t="s">
        <v>169</v>
      </c>
      <c r="E509" s="53" t="s">
        <v>1230</v>
      </c>
      <c r="F509" s="85">
        <v>-92479.64</v>
      </c>
      <c r="G509" s="86"/>
      <c r="H509" s="510"/>
      <c r="I509" s="90"/>
    </row>
    <row r="510" spans="1:9">
      <c r="A510" s="53" t="s">
        <v>1231</v>
      </c>
      <c r="B510" s="53" t="s">
        <v>1232</v>
      </c>
      <c r="C510" s="53" t="s">
        <v>872</v>
      </c>
      <c r="D510" s="53" t="s">
        <v>157</v>
      </c>
      <c r="E510" s="53" t="s">
        <v>100</v>
      </c>
      <c r="F510" s="85">
        <v>0</v>
      </c>
      <c r="G510" s="86"/>
      <c r="H510" s="510"/>
      <c r="I510" s="90"/>
    </row>
    <row r="511" spans="1:9">
      <c r="A511" s="25" t="s">
        <v>1233</v>
      </c>
      <c r="B511" s="25" t="s">
        <v>1234</v>
      </c>
      <c r="C511" s="25" t="s">
        <v>872</v>
      </c>
      <c r="D511" s="25" t="s">
        <v>162</v>
      </c>
      <c r="E511" s="25" t="s">
        <v>100</v>
      </c>
      <c r="F511" s="82">
        <v>-4119.3999999999996</v>
      </c>
      <c r="G511" s="100"/>
      <c r="H511" s="510">
        <f t="shared" si="8"/>
        <v>-4119.3999999999996</v>
      </c>
      <c r="I511" s="90"/>
    </row>
    <row r="512" spans="1:9">
      <c r="A512" s="25" t="s">
        <v>1235</v>
      </c>
      <c r="B512" s="25" t="s">
        <v>1236</v>
      </c>
      <c r="C512" s="25" t="s">
        <v>872</v>
      </c>
      <c r="D512" s="25" t="s">
        <v>162</v>
      </c>
      <c r="E512" s="25" t="s">
        <v>100</v>
      </c>
      <c r="F512" s="82">
        <v>0</v>
      </c>
      <c r="G512" s="100"/>
      <c r="H512" s="510">
        <f t="shared" si="8"/>
        <v>0</v>
      </c>
      <c r="I512" s="90"/>
    </row>
    <row r="513" spans="1:9">
      <c r="A513" s="25" t="s">
        <v>1237</v>
      </c>
      <c r="B513" s="25" t="s">
        <v>1238</v>
      </c>
      <c r="C513" s="25" t="s">
        <v>872</v>
      </c>
      <c r="D513" s="25" t="s">
        <v>162</v>
      </c>
      <c r="E513" s="25" t="s">
        <v>100</v>
      </c>
      <c r="F513" s="82">
        <v>3817.1</v>
      </c>
      <c r="G513" s="100"/>
      <c r="H513" s="510">
        <f t="shared" si="8"/>
        <v>3817.1</v>
      </c>
      <c r="I513" s="90"/>
    </row>
    <row r="514" spans="1:9">
      <c r="A514" s="25" t="s">
        <v>1239</v>
      </c>
      <c r="B514" s="25" t="s">
        <v>1240</v>
      </c>
      <c r="C514" s="25" t="s">
        <v>872</v>
      </c>
      <c r="D514" s="25" t="s">
        <v>162</v>
      </c>
      <c r="E514" s="25" t="s">
        <v>100</v>
      </c>
      <c r="F514" s="82">
        <v>-157973.57999999999</v>
      </c>
      <c r="G514" s="100">
        <f>-2017.9-2135.04-20532.5-11972.5-2042.19-10702.5-1315.57-4725</f>
        <v>-55443.200000000004</v>
      </c>
      <c r="H514" s="510">
        <f>F514+G514</f>
        <v>-213416.78</v>
      </c>
      <c r="I514" s="90"/>
    </row>
    <row r="515" spans="1:9">
      <c r="A515" s="25" t="s">
        <v>1241</v>
      </c>
      <c r="B515" s="25" t="s">
        <v>2207</v>
      </c>
      <c r="C515" s="25" t="s">
        <v>872</v>
      </c>
      <c r="D515" s="25" t="s">
        <v>162</v>
      </c>
      <c r="E515" s="25" t="s">
        <v>100</v>
      </c>
      <c r="F515" s="82">
        <v>0</v>
      </c>
      <c r="G515" s="100"/>
      <c r="H515" s="510">
        <f t="shared" si="8"/>
        <v>0</v>
      </c>
      <c r="I515" s="90"/>
    </row>
    <row r="516" spans="1:9">
      <c r="A516" s="25" t="s">
        <v>1243</v>
      </c>
      <c r="B516" s="25" t="s">
        <v>1244</v>
      </c>
      <c r="C516" s="25" t="s">
        <v>872</v>
      </c>
      <c r="D516" s="25" t="s">
        <v>162</v>
      </c>
      <c r="E516" s="25" t="s">
        <v>100</v>
      </c>
      <c r="F516" s="82">
        <v>0</v>
      </c>
      <c r="G516" s="100"/>
      <c r="H516" s="510">
        <f t="shared" si="8"/>
        <v>0</v>
      </c>
      <c r="I516" s="90"/>
    </row>
    <row r="517" spans="1:9">
      <c r="A517" s="25" t="s">
        <v>1245</v>
      </c>
      <c r="B517" s="25" t="s">
        <v>1246</v>
      </c>
      <c r="C517" s="25" t="s">
        <v>872</v>
      </c>
      <c r="D517" s="25" t="s">
        <v>162</v>
      </c>
      <c r="E517" s="25" t="s">
        <v>100</v>
      </c>
      <c r="F517" s="82">
        <v>-326941</v>
      </c>
      <c r="G517" s="100"/>
      <c r="H517" s="510">
        <f t="shared" si="8"/>
        <v>-326941</v>
      </c>
      <c r="I517" s="90"/>
    </row>
    <row r="518" spans="1:9">
      <c r="A518" s="25" t="s">
        <v>1247</v>
      </c>
      <c r="B518" s="25" t="s">
        <v>1248</v>
      </c>
      <c r="C518" s="25" t="s">
        <v>872</v>
      </c>
      <c r="D518" s="25" t="s">
        <v>162</v>
      </c>
      <c r="E518" s="25" t="s">
        <v>100</v>
      </c>
      <c r="F518" s="82">
        <v>0</v>
      </c>
      <c r="G518" s="100"/>
      <c r="H518" s="510">
        <f t="shared" si="8"/>
        <v>0</v>
      </c>
      <c r="I518" s="155">
        <f>SUM(H511:H518)</f>
        <v>-540660.07999999996</v>
      </c>
    </row>
    <row r="519" spans="1:9">
      <c r="A519" s="53" t="s">
        <v>1249</v>
      </c>
      <c r="B519" s="53" t="s">
        <v>1250</v>
      </c>
      <c r="C519" s="53" t="s">
        <v>872</v>
      </c>
      <c r="D519" s="53" t="s">
        <v>169</v>
      </c>
      <c r="E519" s="53" t="s">
        <v>1251</v>
      </c>
      <c r="F519" s="85">
        <v>-485216.88</v>
      </c>
      <c r="G519" s="86"/>
      <c r="H519" s="510"/>
      <c r="I519" s="90"/>
    </row>
    <row r="520" spans="1:9">
      <c r="A520" s="53" t="s">
        <v>1252</v>
      </c>
      <c r="B520" s="53" t="s">
        <v>1253</v>
      </c>
      <c r="C520" s="53" t="s">
        <v>872</v>
      </c>
      <c r="D520" s="53" t="s">
        <v>157</v>
      </c>
      <c r="E520" s="53" t="s">
        <v>100</v>
      </c>
      <c r="F520" s="85">
        <v>0</v>
      </c>
      <c r="G520" s="86"/>
      <c r="H520" s="510"/>
      <c r="I520" s="90"/>
    </row>
    <row r="521" spans="1:9">
      <c r="A521" s="53" t="s">
        <v>1254</v>
      </c>
      <c r="B521" s="53" t="s">
        <v>155</v>
      </c>
      <c r="C521" s="53" t="s">
        <v>872</v>
      </c>
      <c r="D521" s="53" t="s">
        <v>157</v>
      </c>
      <c r="E521" s="53" t="s">
        <v>100</v>
      </c>
      <c r="F521" s="85">
        <v>0</v>
      </c>
      <c r="G521" s="86"/>
      <c r="H521" s="510"/>
      <c r="I521" s="90"/>
    </row>
    <row r="522" spans="1:9">
      <c r="A522" s="53" t="s">
        <v>1255</v>
      </c>
      <c r="B522" s="53" t="s">
        <v>1256</v>
      </c>
      <c r="C522" s="53" t="s">
        <v>872</v>
      </c>
      <c r="D522" s="53" t="s">
        <v>157</v>
      </c>
      <c r="E522" s="53" t="s">
        <v>100</v>
      </c>
      <c r="F522" s="85">
        <v>0</v>
      </c>
      <c r="G522" s="86"/>
      <c r="H522" s="510"/>
      <c r="I522" s="90"/>
    </row>
    <row r="523" spans="1:9">
      <c r="A523" s="25" t="s">
        <v>1257</v>
      </c>
      <c r="B523" s="25" t="s">
        <v>1258</v>
      </c>
      <c r="C523" s="25" t="s">
        <v>872</v>
      </c>
      <c r="D523" s="25" t="s">
        <v>162</v>
      </c>
      <c r="E523" s="25" t="s">
        <v>100</v>
      </c>
      <c r="F523" s="82">
        <v>-5822196</v>
      </c>
      <c r="G523" s="100"/>
      <c r="H523" s="510">
        <f t="shared" si="8"/>
        <v>-5822196</v>
      </c>
      <c r="I523" s="90"/>
    </row>
    <row r="524" spans="1:9">
      <c r="A524" s="25" t="s">
        <v>1259</v>
      </c>
      <c r="B524" s="25" t="s">
        <v>1260</v>
      </c>
      <c r="C524" s="25" t="s">
        <v>872</v>
      </c>
      <c r="D524" s="25" t="s">
        <v>162</v>
      </c>
      <c r="E524" s="25" t="s">
        <v>100</v>
      </c>
      <c r="F524" s="82">
        <v>-12664210</v>
      </c>
      <c r="G524" s="100"/>
      <c r="H524" s="510">
        <f t="shared" si="8"/>
        <v>-12664210</v>
      </c>
      <c r="I524" s="90"/>
    </row>
    <row r="525" spans="1:9">
      <c r="A525" s="25" t="s">
        <v>1261</v>
      </c>
      <c r="B525" s="25" t="s">
        <v>1262</v>
      </c>
      <c r="C525" s="25" t="s">
        <v>872</v>
      </c>
      <c r="D525" s="25" t="s">
        <v>162</v>
      </c>
      <c r="E525" s="25" t="s">
        <v>100</v>
      </c>
      <c r="F525" s="82">
        <v>0</v>
      </c>
      <c r="G525" s="100"/>
      <c r="H525" s="510">
        <f t="shared" si="8"/>
        <v>0</v>
      </c>
      <c r="I525" s="90"/>
    </row>
    <row r="526" spans="1:9">
      <c r="A526" s="25" t="s">
        <v>1263</v>
      </c>
      <c r="B526" s="25" t="s">
        <v>1264</v>
      </c>
      <c r="C526" s="25" t="s">
        <v>872</v>
      </c>
      <c r="D526" s="25" t="s">
        <v>162</v>
      </c>
      <c r="E526" s="25" t="s">
        <v>100</v>
      </c>
      <c r="F526" s="82">
        <v>-636623.81999999995</v>
      </c>
      <c r="G526" s="100"/>
      <c r="H526" s="510">
        <f t="shared" si="8"/>
        <v>-636623.81999999995</v>
      </c>
      <c r="I526" s="90"/>
    </row>
    <row r="527" spans="1:9">
      <c r="A527" s="25" t="s">
        <v>1265</v>
      </c>
      <c r="B527" s="25" t="s">
        <v>1266</v>
      </c>
      <c r="C527" s="25" t="s">
        <v>872</v>
      </c>
      <c r="D527" s="25" t="s">
        <v>162</v>
      </c>
      <c r="E527" s="25" t="s">
        <v>100</v>
      </c>
      <c r="F527" s="82">
        <v>235905.38</v>
      </c>
      <c r="G527" s="100"/>
      <c r="H527" s="510">
        <f t="shared" si="8"/>
        <v>235905.38</v>
      </c>
      <c r="I527" s="90"/>
    </row>
    <row r="528" spans="1:9">
      <c r="A528" s="25" t="s">
        <v>1267</v>
      </c>
      <c r="B528" s="25" t="s">
        <v>1268</v>
      </c>
      <c r="C528" s="25" t="s">
        <v>872</v>
      </c>
      <c r="D528" s="25" t="s">
        <v>162</v>
      </c>
      <c r="E528" s="25" t="s">
        <v>100</v>
      </c>
      <c r="F528" s="82">
        <v>0</v>
      </c>
      <c r="G528" s="100"/>
      <c r="H528" s="510">
        <f t="shared" si="8"/>
        <v>0</v>
      </c>
      <c r="I528" s="90"/>
    </row>
    <row r="529" spans="1:8">
      <c r="A529" s="53" t="s">
        <v>1269</v>
      </c>
      <c r="B529" s="53" t="s">
        <v>1270</v>
      </c>
      <c r="C529" s="53" t="s">
        <v>872</v>
      </c>
      <c r="D529" s="53" t="s">
        <v>169</v>
      </c>
      <c r="E529" s="53" t="s">
        <v>1271</v>
      </c>
      <c r="F529" s="85">
        <v>-18887124.440000001</v>
      </c>
      <c r="G529" s="86"/>
      <c r="H529" s="510"/>
    </row>
    <row r="530" spans="1:8">
      <c r="A530" s="53" t="s">
        <v>1272</v>
      </c>
      <c r="B530" s="53" t="s">
        <v>189</v>
      </c>
      <c r="C530" s="53" t="s">
        <v>872</v>
      </c>
      <c r="D530" s="53" t="s">
        <v>157</v>
      </c>
      <c r="E530" s="53" t="s">
        <v>100</v>
      </c>
      <c r="F530" s="85">
        <v>0</v>
      </c>
      <c r="G530" s="86"/>
      <c r="H530" s="510"/>
    </row>
    <row r="531" spans="1:8">
      <c r="A531" s="25" t="s">
        <v>1273</v>
      </c>
      <c r="B531" s="25" t="s">
        <v>1110</v>
      </c>
      <c r="C531" s="25" t="s">
        <v>872</v>
      </c>
      <c r="D531" s="25" t="s">
        <v>162</v>
      </c>
      <c r="E531" s="25" t="s">
        <v>100</v>
      </c>
      <c r="F531" s="82">
        <v>-3541548.55</v>
      </c>
      <c r="G531" s="100"/>
      <c r="H531" s="510">
        <f t="shared" si="8"/>
        <v>-3541548.55</v>
      </c>
    </row>
    <row r="532" spans="1:8">
      <c r="A532" s="25" t="s">
        <v>1274</v>
      </c>
      <c r="B532" s="25" t="s">
        <v>1275</v>
      </c>
      <c r="C532" s="25" t="s">
        <v>872</v>
      </c>
      <c r="D532" s="25" t="s">
        <v>162</v>
      </c>
      <c r="E532" s="25" t="s">
        <v>100</v>
      </c>
      <c r="F532" s="82">
        <v>-480910.11</v>
      </c>
      <c r="G532" s="100"/>
      <c r="H532" s="510">
        <f t="shared" si="8"/>
        <v>-480910.11</v>
      </c>
    </row>
    <row r="533" spans="1:8">
      <c r="A533" s="25" t="s">
        <v>1276</v>
      </c>
      <c r="B533" s="25" t="s">
        <v>1277</v>
      </c>
      <c r="C533" s="25" t="s">
        <v>872</v>
      </c>
      <c r="D533" s="25" t="s">
        <v>162</v>
      </c>
      <c r="E533" s="25" t="s">
        <v>100</v>
      </c>
      <c r="F533" s="82">
        <v>-41877</v>
      </c>
      <c r="G533" s="100"/>
      <c r="H533" s="510">
        <f t="shared" si="8"/>
        <v>-41877</v>
      </c>
    </row>
    <row r="534" spans="1:8">
      <c r="A534" s="25" t="s">
        <v>1278</v>
      </c>
      <c r="B534" s="25" t="s">
        <v>1279</v>
      </c>
      <c r="C534" s="25" t="s">
        <v>872</v>
      </c>
      <c r="D534" s="25" t="s">
        <v>162</v>
      </c>
      <c r="E534" s="25" t="s">
        <v>100</v>
      </c>
      <c r="F534" s="82">
        <v>-610880.17000000004</v>
      </c>
      <c r="G534" s="100"/>
      <c r="H534" s="510">
        <f t="shared" si="8"/>
        <v>-610880.17000000004</v>
      </c>
    </row>
    <row r="535" spans="1:8">
      <c r="A535" s="25" t="s">
        <v>1280</v>
      </c>
      <c r="B535" s="25" t="s">
        <v>1281</v>
      </c>
      <c r="C535" s="25" t="s">
        <v>872</v>
      </c>
      <c r="D535" s="25" t="s">
        <v>162</v>
      </c>
      <c r="E535" s="25" t="s">
        <v>100</v>
      </c>
      <c r="F535" s="82">
        <v>988.99</v>
      </c>
      <c r="G535" s="100"/>
      <c r="H535" s="510">
        <f t="shared" si="8"/>
        <v>988.99</v>
      </c>
    </row>
    <row r="536" spans="1:8">
      <c r="A536" s="53" t="s">
        <v>1282</v>
      </c>
      <c r="B536" s="53" t="s">
        <v>251</v>
      </c>
      <c r="C536" s="53" t="s">
        <v>872</v>
      </c>
      <c r="D536" s="53" t="s">
        <v>169</v>
      </c>
      <c r="E536" s="53" t="s">
        <v>1283</v>
      </c>
      <c r="F536" s="85">
        <v>-4674226.84</v>
      </c>
      <c r="G536" s="86"/>
      <c r="H536" s="510"/>
    </row>
    <row r="537" spans="1:8">
      <c r="A537" s="53" t="s">
        <v>1284</v>
      </c>
      <c r="B537" s="53" t="s">
        <v>278</v>
      </c>
      <c r="C537" s="53" t="s">
        <v>872</v>
      </c>
      <c r="D537" s="53" t="s">
        <v>169</v>
      </c>
      <c r="E537" s="53" t="s">
        <v>1285</v>
      </c>
      <c r="F537" s="85">
        <v>-23561351.280000001</v>
      </c>
      <c r="G537" s="86"/>
      <c r="H537" s="510"/>
    </row>
    <row r="538" spans="1:8">
      <c r="A538" s="53" t="s">
        <v>1286</v>
      </c>
      <c r="B538" s="53" t="s">
        <v>281</v>
      </c>
      <c r="C538" s="53" t="s">
        <v>872</v>
      </c>
      <c r="D538" s="53" t="s">
        <v>157</v>
      </c>
      <c r="E538" s="53" t="s">
        <v>100</v>
      </c>
      <c r="F538" s="85">
        <v>0</v>
      </c>
      <c r="G538" s="86"/>
      <c r="H538" s="510"/>
    </row>
    <row r="539" spans="1:8">
      <c r="A539" s="53" t="s">
        <v>1287</v>
      </c>
      <c r="B539" s="53" t="s">
        <v>1288</v>
      </c>
      <c r="C539" s="53" t="s">
        <v>872</v>
      </c>
      <c r="D539" s="53" t="s">
        <v>157</v>
      </c>
      <c r="E539" s="53" t="s">
        <v>100</v>
      </c>
      <c r="F539" s="85">
        <v>0</v>
      </c>
      <c r="G539" s="86"/>
      <c r="H539" s="510"/>
    </row>
    <row r="540" spans="1:8">
      <c r="A540" s="25" t="s">
        <v>1289</v>
      </c>
      <c r="B540" s="25" t="s">
        <v>47</v>
      </c>
      <c r="C540" s="25" t="s">
        <v>872</v>
      </c>
      <c r="D540" s="25" t="s">
        <v>162</v>
      </c>
      <c r="E540" s="25" t="s">
        <v>100</v>
      </c>
      <c r="F540" s="82">
        <v>1074301.93</v>
      </c>
      <c r="G540" s="100"/>
      <c r="H540" s="510">
        <f t="shared" ref="H540:H597" si="9">F540</f>
        <v>1074301.93</v>
      </c>
    </row>
    <row r="541" spans="1:8">
      <c r="A541" s="25" t="s">
        <v>1290</v>
      </c>
      <c r="B541" s="25" t="s">
        <v>1291</v>
      </c>
      <c r="C541" s="25" t="s">
        <v>872</v>
      </c>
      <c r="D541" s="25" t="s">
        <v>162</v>
      </c>
      <c r="E541" s="25" t="s">
        <v>100</v>
      </c>
      <c r="F541" s="82">
        <v>-0.5</v>
      </c>
      <c r="G541" s="100"/>
      <c r="H541" s="510">
        <f t="shared" si="9"/>
        <v>-0.5</v>
      </c>
    </row>
    <row r="542" spans="1:8">
      <c r="A542" s="25" t="s">
        <v>1292</v>
      </c>
      <c r="B542" s="25" t="s">
        <v>1293</v>
      </c>
      <c r="C542" s="25" t="s">
        <v>872</v>
      </c>
      <c r="D542" s="25" t="s">
        <v>162</v>
      </c>
      <c r="E542" s="25" t="s">
        <v>100</v>
      </c>
      <c r="F542" s="82">
        <v>63951.56</v>
      </c>
      <c r="G542" s="100"/>
      <c r="H542" s="510">
        <f t="shared" si="9"/>
        <v>63951.56</v>
      </c>
    </row>
    <row r="543" spans="1:8">
      <c r="A543" s="25" t="s">
        <v>1294</v>
      </c>
      <c r="B543" s="25" t="s">
        <v>1295</v>
      </c>
      <c r="C543" s="25" t="s">
        <v>872</v>
      </c>
      <c r="D543" s="25" t="s">
        <v>162</v>
      </c>
      <c r="E543" s="25" t="s">
        <v>100</v>
      </c>
      <c r="F543" s="82">
        <v>61510.3</v>
      </c>
      <c r="G543" s="100"/>
      <c r="H543" s="510">
        <f t="shared" si="9"/>
        <v>61510.3</v>
      </c>
    </row>
    <row r="544" spans="1:8">
      <c r="A544" s="25" t="s">
        <v>1296</v>
      </c>
      <c r="B544" s="25" t="s">
        <v>1297</v>
      </c>
      <c r="C544" s="25" t="s">
        <v>872</v>
      </c>
      <c r="D544" s="25" t="s">
        <v>162</v>
      </c>
      <c r="E544" s="25" t="s">
        <v>100</v>
      </c>
      <c r="F544" s="82">
        <v>0</v>
      </c>
      <c r="G544" s="100"/>
      <c r="H544" s="510">
        <f t="shared" si="9"/>
        <v>0</v>
      </c>
    </row>
    <row r="545" spans="1:8">
      <c r="A545" s="25" t="s">
        <v>1298</v>
      </c>
      <c r="B545" s="25" t="s">
        <v>1299</v>
      </c>
      <c r="C545" s="25" t="s">
        <v>872</v>
      </c>
      <c r="D545" s="25" t="s">
        <v>162</v>
      </c>
      <c r="E545" s="25" t="s">
        <v>100</v>
      </c>
      <c r="F545" s="82">
        <v>20860.96</v>
      </c>
      <c r="G545" s="100">
        <v>20532.5</v>
      </c>
      <c r="H545" s="510">
        <f>F545+G545</f>
        <v>41393.46</v>
      </c>
    </row>
    <row r="546" spans="1:8">
      <c r="A546" s="25" t="s">
        <v>1300</v>
      </c>
      <c r="B546" s="25" t="s">
        <v>1301</v>
      </c>
      <c r="C546" s="25" t="s">
        <v>872</v>
      </c>
      <c r="D546" s="25" t="s">
        <v>162</v>
      </c>
      <c r="E546" s="25" t="s">
        <v>100</v>
      </c>
      <c r="F546" s="82">
        <v>40195.72</v>
      </c>
      <c r="G546" s="100"/>
      <c r="H546" s="510">
        <f t="shared" si="9"/>
        <v>40195.72</v>
      </c>
    </row>
    <row r="547" spans="1:8">
      <c r="A547" s="25" t="s">
        <v>1302</v>
      </c>
      <c r="B547" s="25" t="s">
        <v>1303</v>
      </c>
      <c r="C547" s="25" t="s">
        <v>872</v>
      </c>
      <c r="D547" s="25" t="s">
        <v>162</v>
      </c>
      <c r="E547" s="25" t="s">
        <v>100</v>
      </c>
      <c r="F547" s="82">
        <v>616123.86</v>
      </c>
      <c r="G547" s="100">
        <f>-549.2+1315.57</f>
        <v>766.36999999999989</v>
      </c>
      <c r="H547" s="510">
        <f>F547+G547</f>
        <v>616890.23</v>
      </c>
    </row>
    <row r="548" spans="1:8">
      <c r="A548" s="25" t="s">
        <v>1304</v>
      </c>
      <c r="B548" s="25" t="s">
        <v>664</v>
      </c>
      <c r="C548" s="25" t="s">
        <v>872</v>
      </c>
      <c r="D548" s="25" t="s">
        <v>162</v>
      </c>
      <c r="E548" s="25" t="s">
        <v>100</v>
      </c>
      <c r="F548" s="82">
        <v>490585.9</v>
      </c>
      <c r="G548" s="100">
        <v>10702.5</v>
      </c>
      <c r="H548" s="510">
        <f>F548+G548</f>
        <v>501288.4</v>
      </c>
    </row>
    <row r="549" spans="1:8">
      <c r="A549" s="25" t="s">
        <v>1305</v>
      </c>
      <c r="B549" s="25" t="s">
        <v>1306</v>
      </c>
      <c r="C549" s="25" t="s">
        <v>872</v>
      </c>
      <c r="D549" s="25" t="s">
        <v>162</v>
      </c>
      <c r="E549" s="25" t="s">
        <v>100</v>
      </c>
      <c r="F549" s="82">
        <v>776965.15</v>
      </c>
      <c r="G549" s="100"/>
      <c r="H549" s="510">
        <f t="shared" si="9"/>
        <v>776965.15</v>
      </c>
    </row>
    <row r="550" spans="1:8">
      <c r="A550" s="25" t="s">
        <v>1307</v>
      </c>
      <c r="B550" s="25" t="s">
        <v>1308</v>
      </c>
      <c r="C550" s="25" t="s">
        <v>872</v>
      </c>
      <c r="D550" s="25" t="s">
        <v>162</v>
      </c>
      <c r="E550" s="25" t="s">
        <v>100</v>
      </c>
      <c r="F550" s="82">
        <v>1108642.6299999999</v>
      </c>
      <c r="G550" s="100"/>
      <c r="H550" s="510">
        <f t="shared" si="9"/>
        <v>1108642.6299999999</v>
      </c>
    </row>
    <row r="551" spans="1:8">
      <c r="A551" s="25" t="s">
        <v>1309</v>
      </c>
      <c r="B551" s="25" t="s">
        <v>1310</v>
      </c>
      <c r="C551" s="25" t="s">
        <v>872</v>
      </c>
      <c r="D551" s="25" t="s">
        <v>162</v>
      </c>
      <c r="E551" s="25" t="s">
        <v>100</v>
      </c>
      <c r="F551" s="82">
        <v>311854.59999999998</v>
      </c>
      <c r="G551" s="100"/>
      <c r="H551" s="510">
        <f t="shared" si="9"/>
        <v>311854.59999999998</v>
      </c>
    </row>
    <row r="552" spans="1:8">
      <c r="A552" s="25" t="s">
        <v>1311</v>
      </c>
      <c r="B552" s="25" t="s">
        <v>1312</v>
      </c>
      <c r="C552" s="25" t="s">
        <v>872</v>
      </c>
      <c r="D552" s="25" t="s">
        <v>162</v>
      </c>
      <c r="E552" s="25" t="s">
        <v>100</v>
      </c>
      <c r="F552" s="82">
        <v>86796.95</v>
      </c>
      <c r="G552" s="100"/>
      <c r="H552" s="510">
        <f t="shared" si="9"/>
        <v>86796.95</v>
      </c>
    </row>
    <row r="553" spans="1:8">
      <c r="A553" s="25" t="s">
        <v>1313</v>
      </c>
      <c r="B553" s="25" t="s">
        <v>1314</v>
      </c>
      <c r="C553" s="25" t="s">
        <v>872</v>
      </c>
      <c r="D553" s="25" t="s">
        <v>162</v>
      </c>
      <c r="E553" s="25" t="s">
        <v>100</v>
      </c>
      <c r="F553" s="82">
        <v>305666.32</v>
      </c>
      <c r="G553" s="100"/>
      <c r="H553" s="510">
        <f t="shared" si="9"/>
        <v>305666.32</v>
      </c>
    </row>
    <row r="554" spans="1:8">
      <c r="A554" s="25" t="s">
        <v>1315</v>
      </c>
      <c r="B554" s="25" t="s">
        <v>1316</v>
      </c>
      <c r="C554" s="25" t="s">
        <v>872</v>
      </c>
      <c r="D554" s="25" t="s">
        <v>162</v>
      </c>
      <c r="E554" s="25" t="s">
        <v>100</v>
      </c>
      <c r="F554" s="82">
        <v>1303.8499999999999</v>
      </c>
      <c r="G554" s="100"/>
      <c r="H554" s="510">
        <f t="shared" si="9"/>
        <v>1303.8499999999999</v>
      </c>
    </row>
    <row r="555" spans="1:8">
      <c r="A555" s="25" t="s">
        <v>1317</v>
      </c>
      <c r="B555" s="25" t="s">
        <v>1318</v>
      </c>
      <c r="C555" s="25" t="s">
        <v>872</v>
      </c>
      <c r="D555" s="25" t="s">
        <v>162</v>
      </c>
      <c r="E555" s="25" t="s">
        <v>100</v>
      </c>
      <c r="F555" s="82">
        <v>63360.36</v>
      </c>
      <c r="G555" s="100">
        <v>4725</v>
      </c>
      <c r="H555" s="510">
        <f>F555+G555</f>
        <v>68085.36</v>
      </c>
    </row>
    <row r="556" spans="1:8">
      <c r="A556" s="53" t="s">
        <v>1319</v>
      </c>
      <c r="B556" s="53" t="s">
        <v>1320</v>
      </c>
      <c r="C556" s="53" t="s">
        <v>872</v>
      </c>
      <c r="D556" s="53" t="s">
        <v>169</v>
      </c>
      <c r="E556" s="53" t="s">
        <v>1321</v>
      </c>
      <c r="F556" s="85">
        <v>5022119.59</v>
      </c>
      <c r="G556" s="86"/>
      <c r="H556" s="510"/>
    </row>
    <row r="557" spans="1:8">
      <c r="A557" s="53" t="s">
        <v>1322</v>
      </c>
      <c r="B557" s="53" t="s">
        <v>1323</v>
      </c>
      <c r="C557" s="53" t="s">
        <v>872</v>
      </c>
      <c r="D557" s="53" t="s">
        <v>157</v>
      </c>
      <c r="E557" s="53" t="s">
        <v>100</v>
      </c>
      <c r="F557" s="85">
        <v>0</v>
      </c>
      <c r="G557" s="86"/>
      <c r="H557" s="510"/>
    </row>
    <row r="558" spans="1:8">
      <c r="A558" s="25" t="s">
        <v>1324</v>
      </c>
      <c r="B558" s="25" t="s">
        <v>1325</v>
      </c>
      <c r="C558" s="25" t="s">
        <v>872</v>
      </c>
      <c r="D558" s="25" t="s">
        <v>162</v>
      </c>
      <c r="E558" s="25" t="s">
        <v>100</v>
      </c>
      <c r="F558" s="82">
        <v>187846.78</v>
      </c>
      <c r="G558" s="100"/>
      <c r="H558" s="510">
        <f t="shared" si="9"/>
        <v>187846.78</v>
      </c>
    </row>
    <row r="559" spans="1:8">
      <c r="A559" s="25" t="s">
        <v>1326</v>
      </c>
      <c r="B559" s="25" t="s">
        <v>1327</v>
      </c>
      <c r="C559" s="25" t="s">
        <v>872</v>
      </c>
      <c r="D559" s="25" t="s">
        <v>162</v>
      </c>
      <c r="E559" s="25" t="s">
        <v>100</v>
      </c>
      <c r="F559" s="82">
        <v>262363.64</v>
      </c>
      <c r="G559" s="100"/>
      <c r="H559" s="510">
        <f t="shared" si="9"/>
        <v>262363.64</v>
      </c>
    </row>
    <row r="560" spans="1:8">
      <c r="A560" s="25" t="s">
        <v>1328</v>
      </c>
      <c r="B560" s="25" t="s">
        <v>1329</v>
      </c>
      <c r="C560" s="25" t="s">
        <v>872</v>
      </c>
      <c r="D560" s="25" t="s">
        <v>162</v>
      </c>
      <c r="E560" s="25" t="s">
        <v>100</v>
      </c>
      <c r="F560" s="82">
        <v>0</v>
      </c>
      <c r="G560" s="100"/>
      <c r="H560" s="510">
        <f t="shared" si="9"/>
        <v>0</v>
      </c>
    </row>
    <row r="561" spans="1:8">
      <c r="A561" s="25" t="s">
        <v>1330</v>
      </c>
      <c r="B561" s="25" t="s">
        <v>1331</v>
      </c>
      <c r="C561" s="25" t="s">
        <v>872</v>
      </c>
      <c r="D561" s="25" t="s">
        <v>162</v>
      </c>
      <c r="E561" s="25" t="s">
        <v>100</v>
      </c>
      <c r="F561" s="82">
        <v>258689.93</v>
      </c>
      <c r="G561" s="100"/>
      <c r="H561" s="510">
        <f t="shared" si="9"/>
        <v>258689.93</v>
      </c>
    </row>
    <row r="562" spans="1:8">
      <c r="A562" s="53" t="s">
        <v>1332</v>
      </c>
      <c r="B562" s="53" t="s">
        <v>1333</v>
      </c>
      <c r="C562" s="53" t="s">
        <v>872</v>
      </c>
      <c r="D562" s="53" t="s">
        <v>169</v>
      </c>
      <c r="E562" s="53" t="s">
        <v>1334</v>
      </c>
      <c r="F562" s="85">
        <v>708900.35</v>
      </c>
      <c r="G562" s="86"/>
      <c r="H562" s="510"/>
    </row>
    <row r="563" spans="1:8">
      <c r="A563" s="53" t="s">
        <v>1335</v>
      </c>
      <c r="B563" s="53" t="s">
        <v>1336</v>
      </c>
      <c r="C563" s="53" t="s">
        <v>872</v>
      </c>
      <c r="D563" s="53" t="s">
        <v>157</v>
      </c>
      <c r="E563" s="53" t="s">
        <v>100</v>
      </c>
      <c r="F563" s="85">
        <v>0</v>
      </c>
      <c r="G563" s="86"/>
      <c r="H563" s="510"/>
    </row>
    <row r="564" spans="1:8">
      <c r="A564" s="25" t="s">
        <v>1337</v>
      </c>
      <c r="B564" s="25" t="s">
        <v>1338</v>
      </c>
      <c r="C564" s="25" t="s">
        <v>872</v>
      </c>
      <c r="D564" s="25" t="s">
        <v>162</v>
      </c>
      <c r="E564" s="25" t="s">
        <v>100</v>
      </c>
      <c r="F564" s="82">
        <v>2788278.35</v>
      </c>
      <c r="G564" s="100"/>
      <c r="H564" s="510">
        <f t="shared" si="9"/>
        <v>2788278.35</v>
      </c>
    </row>
    <row r="565" spans="1:8">
      <c r="A565" s="25" t="s">
        <v>1339</v>
      </c>
      <c r="B565" s="25" t="s">
        <v>1340</v>
      </c>
      <c r="C565" s="25" t="s">
        <v>872</v>
      </c>
      <c r="D565" s="25" t="s">
        <v>162</v>
      </c>
      <c r="E565" s="25" t="s">
        <v>100</v>
      </c>
      <c r="F565" s="82">
        <v>167010.5</v>
      </c>
      <c r="G565" s="100"/>
      <c r="H565" s="510">
        <f t="shared" si="9"/>
        <v>167010.5</v>
      </c>
    </row>
    <row r="566" spans="1:8">
      <c r="A566" s="25" t="s">
        <v>1341</v>
      </c>
      <c r="B566" s="25" t="s">
        <v>1342</v>
      </c>
      <c r="C566" s="25" t="s">
        <v>872</v>
      </c>
      <c r="D566" s="25" t="s">
        <v>162</v>
      </c>
      <c r="E566" s="25" t="s">
        <v>100</v>
      </c>
      <c r="F566" s="82">
        <v>157895.88</v>
      </c>
      <c r="G566" s="100"/>
      <c r="H566" s="510">
        <f t="shared" si="9"/>
        <v>157895.88</v>
      </c>
    </row>
    <row r="567" spans="1:8">
      <c r="A567" s="25" t="s">
        <v>1343</v>
      </c>
      <c r="B567" s="25" t="s">
        <v>1344</v>
      </c>
      <c r="C567" s="25" t="s">
        <v>872</v>
      </c>
      <c r="D567" s="25" t="s">
        <v>162</v>
      </c>
      <c r="E567" s="25" t="s">
        <v>100</v>
      </c>
      <c r="F567" s="82">
        <v>1031337.7</v>
      </c>
      <c r="G567" s="100"/>
      <c r="H567" s="510">
        <f t="shared" si="9"/>
        <v>1031337.7</v>
      </c>
    </row>
    <row r="568" spans="1:8">
      <c r="A568" s="25" t="s">
        <v>1345</v>
      </c>
      <c r="B568" s="25" t="s">
        <v>1346</v>
      </c>
      <c r="C568" s="25" t="s">
        <v>872</v>
      </c>
      <c r="D568" s="25" t="s">
        <v>162</v>
      </c>
      <c r="E568" s="25" t="s">
        <v>100</v>
      </c>
      <c r="F568" s="82">
        <v>312151.03000000003</v>
      </c>
      <c r="G568" s="100"/>
      <c r="H568" s="510">
        <f t="shared" si="9"/>
        <v>312151.03000000003</v>
      </c>
    </row>
    <row r="569" spans="1:8">
      <c r="A569" s="25" t="s">
        <v>1347</v>
      </c>
      <c r="B569" s="25" t="s">
        <v>1348</v>
      </c>
      <c r="C569" s="25" t="s">
        <v>872</v>
      </c>
      <c r="D569" s="25" t="s">
        <v>162</v>
      </c>
      <c r="E569" s="25" t="s">
        <v>100</v>
      </c>
      <c r="F569" s="82">
        <v>0</v>
      </c>
      <c r="G569" s="100"/>
      <c r="H569" s="510">
        <f t="shared" si="9"/>
        <v>0</v>
      </c>
    </row>
    <row r="570" spans="1:8">
      <c r="A570" s="25" t="s">
        <v>1349</v>
      </c>
      <c r="B570" s="25" t="s">
        <v>1350</v>
      </c>
      <c r="C570" s="25" t="s">
        <v>872</v>
      </c>
      <c r="D570" s="25" t="s">
        <v>162</v>
      </c>
      <c r="E570" s="25" t="s">
        <v>100</v>
      </c>
      <c r="F570" s="82">
        <v>64676.32</v>
      </c>
      <c r="G570" s="100"/>
      <c r="H570" s="510">
        <f t="shared" si="9"/>
        <v>64676.32</v>
      </c>
    </row>
    <row r="571" spans="1:8">
      <c r="A571" s="25" t="s">
        <v>1351</v>
      </c>
      <c r="B571" s="25" t="s">
        <v>1352</v>
      </c>
      <c r="C571" s="25" t="s">
        <v>872</v>
      </c>
      <c r="D571" s="25" t="s">
        <v>162</v>
      </c>
      <c r="E571" s="25" t="s">
        <v>100</v>
      </c>
      <c r="F571" s="82">
        <v>0</v>
      </c>
      <c r="G571" s="100"/>
      <c r="H571" s="510">
        <f t="shared" si="9"/>
        <v>0</v>
      </c>
    </row>
    <row r="572" spans="1:8">
      <c r="A572" s="25" t="s">
        <v>1353</v>
      </c>
      <c r="B572" s="25" t="s">
        <v>1354</v>
      </c>
      <c r="C572" s="25" t="s">
        <v>872</v>
      </c>
      <c r="D572" s="25" t="s">
        <v>162</v>
      </c>
      <c r="E572" s="25" t="s">
        <v>100</v>
      </c>
      <c r="F572" s="82">
        <v>3943.13</v>
      </c>
      <c r="G572" s="100"/>
      <c r="H572" s="510">
        <f t="shared" si="9"/>
        <v>3943.13</v>
      </c>
    </row>
    <row r="573" spans="1:8">
      <c r="A573" s="25" t="s">
        <v>1355</v>
      </c>
      <c r="B573" s="25" t="s">
        <v>1356</v>
      </c>
      <c r="C573" s="25" t="s">
        <v>872</v>
      </c>
      <c r="D573" s="25" t="s">
        <v>162</v>
      </c>
      <c r="E573" s="25" t="s">
        <v>100</v>
      </c>
      <c r="F573" s="82">
        <v>0</v>
      </c>
      <c r="G573" s="100"/>
      <c r="H573" s="510">
        <f t="shared" si="9"/>
        <v>0</v>
      </c>
    </row>
    <row r="574" spans="1:8">
      <c r="A574" s="25" t="s">
        <v>1357</v>
      </c>
      <c r="B574" s="25" t="s">
        <v>1358</v>
      </c>
      <c r="C574" s="25" t="s">
        <v>872</v>
      </c>
      <c r="D574" s="25" t="s">
        <v>162</v>
      </c>
      <c r="E574" s="25" t="s">
        <v>100</v>
      </c>
      <c r="F574" s="82">
        <v>66731.509999999995</v>
      </c>
      <c r="G574" s="100"/>
      <c r="H574" s="510">
        <f t="shared" si="9"/>
        <v>66731.509999999995</v>
      </c>
    </row>
    <row r="575" spans="1:8">
      <c r="A575" s="25" t="s">
        <v>1359</v>
      </c>
      <c r="B575" s="25" t="s">
        <v>1360</v>
      </c>
      <c r="C575" s="25" t="s">
        <v>872</v>
      </c>
      <c r="D575" s="25" t="s">
        <v>162</v>
      </c>
      <c r="E575" s="25" t="s">
        <v>100</v>
      </c>
      <c r="F575" s="82">
        <v>681921.57</v>
      </c>
      <c r="G575" s="100"/>
      <c r="H575" s="510">
        <f t="shared" si="9"/>
        <v>681921.57</v>
      </c>
    </row>
    <row r="576" spans="1:8">
      <c r="A576" s="25" t="s">
        <v>1361</v>
      </c>
      <c r="B576" s="25" t="s">
        <v>1362</v>
      </c>
      <c r="C576" s="25" t="s">
        <v>872</v>
      </c>
      <c r="D576" s="25" t="s">
        <v>162</v>
      </c>
      <c r="E576" s="25" t="s">
        <v>100</v>
      </c>
      <c r="F576" s="82">
        <v>1583090.37</v>
      </c>
      <c r="G576" s="100"/>
      <c r="H576" s="510">
        <f>F576+G576</f>
        <v>1583090.37</v>
      </c>
    </row>
    <row r="577" spans="1:8">
      <c r="A577" s="25" t="s">
        <v>1363</v>
      </c>
      <c r="B577" s="25" t="s">
        <v>1364</v>
      </c>
      <c r="C577" s="25" t="s">
        <v>872</v>
      </c>
      <c r="D577" s="25" t="s">
        <v>162</v>
      </c>
      <c r="E577" s="25" t="s">
        <v>100</v>
      </c>
      <c r="F577" s="82">
        <v>317258.26</v>
      </c>
      <c r="G577" s="100"/>
      <c r="H577" s="510">
        <f t="shared" si="9"/>
        <v>317258.26</v>
      </c>
    </row>
    <row r="578" spans="1:8">
      <c r="A578" s="25" t="s">
        <v>1365</v>
      </c>
      <c r="B578" s="25" t="s">
        <v>1366</v>
      </c>
      <c r="C578" s="25" t="s">
        <v>872</v>
      </c>
      <c r="D578" s="25" t="s">
        <v>162</v>
      </c>
      <c r="E578" s="25" t="s">
        <v>100</v>
      </c>
      <c r="F578" s="82">
        <v>1665880.9</v>
      </c>
      <c r="G578" s="100"/>
      <c r="H578" s="510">
        <f t="shared" si="9"/>
        <v>1665880.9</v>
      </c>
    </row>
    <row r="579" spans="1:8">
      <c r="A579" s="25" t="s">
        <v>1367</v>
      </c>
      <c r="B579" s="25" t="s">
        <v>495</v>
      </c>
      <c r="C579" s="25" t="s">
        <v>872</v>
      </c>
      <c r="D579" s="25" t="s">
        <v>162</v>
      </c>
      <c r="E579" s="25" t="s">
        <v>100</v>
      </c>
      <c r="F579" s="82">
        <v>483312.68</v>
      </c>
      <c r="G579" s="100"/>
      <c r="H579" s="510">
        <f t="shared" si="9"/>
        <v>483312.68</v>
      </c>
    </row>
    <row r="580" spans="1:8">
      <c r="A580" s="25" t="s">
        <v>1368</v>
      </c>
      <c r="B580" s="25" t="s">
        <v>1369</v>
      </c>
      <c r="C580" s="25" t="s">
        <v>872</v>
      </c>
      <c r="D580" s="25" t="s">
        <v>162</v>
      </c>
      <c r="E580" s="25" t="s">
        <v>100</v>
      </c>
      <c r="F580" s="82">
        <v>860649.15</v>
      </c>
      <c r="G580" s="100"/>
      <c r="H580" s="510">
        <f t="shared" si="9"/>
        <v>860649.15</v>
      </c>
    </row>
    <row r="581" spans="1:8">
      <c r="A581" s="25" t="s">
        <v>1370</v>
      </c>
      <c r="B581" s="25" t="s">
        <v>1301</v>
      </c>
      <c r="C581" s="25" t="s">
        <v>872</v>
      </c>
      <c r="D581" s="25" t="s">
        <v>162</v>
      </c>
      <c r="E581" s="25" t="s">
        <v>100</v>
      </c>
      <c r="F581" s="82">
        <v>9500</v>
      </c>
      <c r="G581" s="100"/>
      <c r="H581" s="510">
        <f t="shared" si="9"/>
        <v>9500</v>
      </c>
    </row>
    <row r="582" spans="1:8">
      <c r="A582" s="25" t="s">
        <v>1371</v>
      </c>
      <c r="B582" s="25" t="s">
        <v>1372</v>
      </c>
      <c r="C582" s="25" t="s">
        <v>872</v>
      </c>
      <c r="D582" s="25" t="s">
        <v>162</v>
      </c>
      <c r="E582" s="25" t="s">
        <v>100</v>
      </c>
      <c r="F582" s="82">
        <v>219269.63</v>
      </c>
      <c r="G582" s="100"/>
      <c r="H582" s="510">
        <f t="shared" si="9"/>
        <v>219269.63</v>
      </c>
    </row>
    <row r="583" spans="1:8">
      <c r="A583" s="53" t="s">
        <v>1373</v>
      </c>
      <c r="B583" s="53" t="s">
        <v>1374</v>
      </c>
      <c r="C583" s="53" t="s">
        <v>872</v>
      </c>
      <c r="D583" s="53" t="s">
        <v>169</v>
      </c>
      <c r="E583" s="53" t="s">
        <v>1375</v>
      </c>
      <c r="F583" s="85">
        <v>10412906.98</v>
      </c>
      <c r="G583" s="86"/>
      <c r="H583" s="510"/>
    </row>
    <row r="584" spans="1:8">
      <c r="A584" s="53" t="s">
        <v>1376</v>
      </c>
      <c r="B584" s="53" t="s">
        <v>1377</v>
      </c>
      <c r="C584" s="53" t="s">
        <v>872</v>
      </c>
      <c r="D584" s="53" t="s">
        <v>157</v>
      </c>
      <c r="E584" s="53" t="s">
        <v>100</v>
      </c>
      <c r="F584" s="85">
        <v>0</v>
      </c>
      <c r="G584" s="86"/>
      <c r="H584" s="510"/>
    </row>
    <row r="585" spans="1:8">
      <c r="A585" s="25" t="s">
        <v>1378</v>
      </c>
      <c r="B585" s="25" t="s">
        <v>1379</v>
      </c>
      <c r="C585" s="25" t="s">
        <v>872</v>
      </c>
      <c r="D585" s="25" t="s">
        <v>162</v>
      </c>
      <c r="E585" s="25" t="s">
        <v>100</v>
      </c>
      <c r="F585" s="82">
        <v>5893653.7400000002</v>
      </c>
      <c r="G585" s="100"/>
      <c r="H585" s="510">
        <f t="shared" si="9"/>
        <v>5893653.7400000002</v>
      </c>
    </row>
    <row r="586" spans="1:8">
      <c r="A586" s="53" t="s">
        <v>1380</v>
      </c>
      <c r="B586" s="53" t="s">
        <v>1381</v>
      </c>
      <c r="C586" s="53" t="s">
        <v>872</v>
      </c>
      <c r="D586" s="53" t="s">
        <v>169</v>
      </c>
      <c r="E586" s="53" t="s">
        <v>1382</v>
      </c>
      <c r="F586" s="85">
        <v>5893653.7400000002</v>
      </c>
      <c r="G586" s="86"/>
      <c r="H586" s="510"/>
    </row>
    <row r="587" spans="1:8">
      <c r="A587" s="53" t="s">
        <v>1383</v>
      </c>
      <c r="B587" s="53" t="s">
        <v>1384</v>
      </c>
      <c r="C587" s="53" t="s">
        <v>872</v>
      </c>
      <c r="D587" s="53" t="s">
        <v>157</v>
      </c>
      <c r="E587" s="53" t="s">
        <v>100</v>
      </c>
      <c r="F587" s="85">
        <v>0</v>
      </c>
      <c r="G587" s="86"/>
      <c r="H587" s="510"/>
    </row>
    <row r="588" spans="1:8">
      <c r="A588" s="25" t="s">
        <v>1385</v>
      </c>
      <c r="B588" s="25" t="s">
        <v>1386</v>
      </c>
      <c r="C588" s="25" t="s">
        <v>872</v>
      </c>
      <c r="D588" s="25" t="s">
        <v>162</v>
      </c>
      <c r="E588" s="25" t="s">
        <v>100</v>
      </c>
      <c r="F588" s="82">
        <v>427655.34</v>
      </c>
      <c r="G588" s="100"/>
      <c r="H588" s="510">
        <f t="shared" si="9"/>
        <v>427655.34</v>
      </c>
    </row>
    <row r="589" spans="1:8">
      <c r="A589" s="25" t="s">
        <v>1387</v>
      </c>
      <c r="B589" s="25" t="s">
        <v>1388</v>
      </c>
      <c r="C589" s="25" t="s">
        <v>872</v>
      </c>
      <c r="D589" s="25" t="s">
        <v>162</v>
      </c>
      <c r="E589" s="25" t="s">
        <v>100</v>
      </c>
      <c r="F589" s="82">
        <v>0</v>
      </c>
      <c r="G589" s="100"/>
      <c r="H589" s="510">
        <f t="shared" si="9"/>
        <v>0</v>
      </c>
    </row>
    <row r="590" spans="1:8">
      <c r="A590" s="25" t="s">
        <v>1389</v>
      </c>
      <c r="B590" s="25" t="s">
        <v>1390</v>
      </c>
      <c r="C590" s="25" t="s">
        <v>872</v>
      </c>
      <c r="D590" s="25" t="s">
        <v>162</v>
      </c>
      <c r="E590" s="25" t="s">
        <v>100</v>
      </c>
      <c r="F590" s="82">
        <v>45180</v>
      </c>
      <c r="G590" s="100"/>
      <c r="H590" s="510">
        <f t="shared" si="9"/>
        <v>45180</v>
      </c>
    </row>
    <row r="591" spans="1:8">
      <c r="A591" s="53" t="s">
        <v>1391</v>
      </c>
      <c r="B591" s="53" t="s">
        <v>1392</v>
      </c>
      <c r="C591" s="53" t="s">
        <v>872</v>
      </c>
      <c r="D591" s="53" t="s">
        <v>169</v>
      </c>
      <c r="E591" s="53" t="s">
        <v>1393</v>
      </c>
      <c r="F591" s="85">
        <v>472835.34</v>
      </c>
      <c r="G591" s="86"/>
      <c r="H591" s="510"/>
    </row>
    <row r="592" spans="1:8">
      <c r="A592" s="53" t="s">
        <v>1394</v>
      </c>
      <c r="B592" s="53" t="s">
        <v>1152</v>
      </c>
      <c r="C592" s="53" t="s">
        <v>872</v>
      </c>
      <c r="D592" s="53" t="s">
        <v>169</v>
      </c>
      <c r="E592" s="53" t="s">
        <v>1395</v>
      </c>
      <c r="F592" s="85">
        <v>22510416</v>
      </c>
      <c r="G592" s="86"/>
      <c r="H592" s="510"/>
    </row>
    <row r="593" spans="1:9">
      <c r="A593" s="53" t="s">
        <v>1396</v>
      </c>
      <c r="B593" s="53" t="s">
        <v>1397</v>
      </c>
      <c r="C593" s="53" t="s">
        <v>872</v>
      </c>
      <c r="D593" s="53" t="s">
        <v>169</v>
      </c>
      <c r="E593" s="53" t="s">
        <v>1398</v>
      </c>
      <c r="F593" s="85">
        <v>-1050935.28</v>
      </c>
      <c r="G593" s="86"/>
      <c r="H593" s="155"/>
      <c r="I593" s="510">
        <f>SUM(H523:H592)</f>
        <v>-1014208.9100000064</v>
      </c>
    </row>
    <row r="594" spans="1:9">
      <c r="A594" s="53" t="s">
        <v>1399</v>
      </c>
      <c r="B594" s="53" t="s">
        <v>1400</v>
      </c>
      <c r="C594" s="53" t="s">
        <v>872</v>
      </c>
      <c r="D594" s="53" t="s">
        <v>157</v>
      </c>
      <c r="E594" s="53" t="s">
        <v>100</v>
      </c>
      <c r="F594" s="85">
        <v>0</v>
      </c>
      <c r="G594" s="86"/>
      <c r="H594" s="510"/>
      <c r="I594" s="90"/>
    </row>
    <row r="595" spans="1:9">
      <c r="A595" s="25" t="s">
        <v>1401</v>
      </c>
      <c r="B595" s="25" t="s">
        <v>1402</v>
      </c>
      <c r="C595" s="25" t="s">
        <v>872</v>
      </c>
      <c r="D595" s="25" t="s">
        <v>162</v>
      </c>
      <c r="E595" s="25" t="s">
        <v>100</v>
      </c>
      <c r="F595" s="82">
        <v>0</v>
      </c>
      <c r="G595" s="100"/>
      <c r="H595" s="510">
        <f t="shared" si="9"/>
        <v>0</v>
      </c>
      <c r="I595" s="90"/>
    </row>
    <row r="596" spans="1:9">
      <c r="A596" s="25" t="s">
        <v>1403</v>
      </c>
      <c r="B596" s="25" t="s">
        <v>1404</v>
      </c>
      <c r="C596" s="25" t="s">
        <v>872</v>
      </c>
      <c r="D596" s="25" t="s">
        <v>162</v>
      </c>
      <c r="E596" s="25" t="s">
        <v>100</v>
      </c>
      <c r="F596" s="82">
        <v>0</v>
      </c>
      <c r="G596" s="100"/>
      <c r="H596" s="510">
        <f t="shared" si="9"/>
        <v>0</v>
      </c>
      <c r="I596" s="90"/>
    </row>
    <row r="597" spans="1:9">
      <c r="A597" s="25" t="s">
        <v>1405</v>
      </c>
      <c r="B597" s="25" t="s">
        <v>1406</v>
      </c>
      <c r="C597" s="25" t="s">
        <v>872</v>
      </c>
      <c r="D597" s="25" t="s">
        <v>162</v>
      </c>
      <c r="E597" s="25" t="s">
        <v>100</v>
      </c>
      <c r="F597" s="82">
        <v>-25899.97</v>
      </c>
      <c r="G597" s="100"/>
      <c r="H597" s="510">
        <f t="shared" si="9"/>
        <v>-25899.97</v>
      </c>
      <c r="I597" s="155">
        <f>+H597</f>
        <v>-25899.97</v>
      </c>
    </row>
    <row r="598" spans="1:9">
      <c r="A598" s="53" t="s">
        <v>1407</v>
      </c>
      <c r="B598" s="53" t="s">
        <v>1408</v>
      </c>
      <c r="C598" s="53" t="s">
        <v>872</v>
      </c>
      <c r="D598" s="53" t="s">
        <v>169</v>
      </c>
      <c r="E598" s="53" t="s">
        <v>1409</v>
      </c>
      <c r="F598" s="85">
        <v>-25899.97</v>
      </c>
      <c r="G598" s="86"/>
      <c r="H598" s="510"/>
      <c r="I598" s="90"/>
    </row>
    <row r="599" spans="1:9">
      <c r="A599" s="53" t="s">
        <v>1410</v>
      </c>
      <c r="B599" s="53" t="s">
        <v>1411</v>
      </c>
      <c r="C599" s="53" t="s">
        <v>872</v>
      </c>
      <c r="D599" s="53" t="s">
        <v>157</v>
      </c>
      <c r="E599" s="53" t="s">
        <v>100</v>
      </c>
      <c r="F599" s="85">
        <v>0</v>
      </c>
      <c r="G599" s="86"/>
      <c r="H599" s="510"/>
      <c r="I599" s="90"/>
    </row>
    <row r="600" spans="1:9">
      <c r="A600" s="25" t="s">
        <v>1412</v>
      </c>
      <c r="B600" s="25" t="s">
        <v>1413</v>
      </c>
      <c r="C600" s="25" t="s">
        <v>872</v>
      </c>
      <c r="D600" s="25" t="s">
        <v>162</v>
      </c>
      <c r="E600" s="25" t="s">
        <v>100</v>
      </c>
      <c r="F600" s="82">
        <v>0</v>
      </c>
      <c r="G600" s="100"/>
      <c r="H600" s="510">
        <f t="shared" ref="H600:H612" si="10">F600</f>
        <v>0</v>
      </c>
      <c r="I600" s="90"/>
    </row>
    <row r="601" spans="1:9">
      <c r="A601" s="25" t="s">
        <v>1414</v>
      </c>
      <c r="B601" s="25" t="s">
        <v>1415</v>
      </c>
      <c r="C601" s="25" t="s">
        <v>872</v>
      </c>
      <c r="D601" s="25" t="s">
        <v>162</v>
      </c>
      <c r="E601" s="25" t="s">
        <v>100</v>
      </c>
      <c r="F601" s="82">
        <v>9187.4699999999993</v>
      </c>
      <c r="G601" s="100"/>
      <c r="H601" s="510">
        <f t="shared" si="10"/>
        <v>9187.4699999999993</v>
      </c>
      <c r="I601" s="90"/>
    </row>
    <row r="602" spans="1:9">
      <c r="A602" s="25" t="s">
        <v>1416</v>
      </c>
      <c r="B602" s="25" t="s">
        <v>1417</v>
      </c>
      <c r="C602" s="25" t="s">
        <v>872</v>
      </c>
      <c r="D602" s="25" t="s">
        <v>162</v>
      </c>
      <c r="E602" s="25" t="s">
        <v>100</v>
      </c>
      <c r="F602" s="82">
        <v>0</v>
      </c>
      <c r="G602" s="100"/>
      <c r="H602" s="510">
        <f t="shared" si="10"/>
        <v>0</v>
      </c>
      <c r="I602" s="90"/>
    </row>
    <row r="603" spans="1:9">
      <c r="A603" s="25" t="s">
        <v>1418</v>
      </c>
      <c r="B603" s="25" t="s">
        <v>515</v>
      </c>
      <c r="C603" s="25" t="s">
        <v>872</v>
      </c>
      <c r="D603" s="25" t="s">
        <v>162</v>
      </c>
      <c r="E603" s="25" t="s">
        <v>100</v>
      </c>
      <c r="F603" s="82">
        <v>-1672846.21</v>
      </c>
      <c r="G603" s="100"/>
      <c r="H603" s="510">
        <f t="shared" si="10"/>
        <v>-1672846.21</v>
      </c>
      <c r="I603" s="155">
        <f>SUM(H600:H603)</f>
        <v>-1663658.74</v>
      </c>
    </row>
    <row r="604" spans="1:9">
      <c r="A604" s="53" t="s">
        <v>1419</v>
      </c>
      <c r="B604" s="53" t="s">
        <v>1420</v>
      </c>
      <c r="C604" s="53" t="s">
        <v>872</v>
      </c>
      <c r="D604" s="53" t="s">
        <v>169</v>
      </c>
      <c r="E604" s="53" t="s">
        <v>1421</v>
      </c>
      <c r="F604" s="85">
        <v>-1663658.74</v>
      </c>
      <c r="G604" s="86"/>
      <c r="H604" s="510"/>
      <c r="I604" s="90"/>
    </row>
    <row r="605" spans="1:9">
      <c r="A605" s="53" t="s">
        <v>1422</v>
      </c>
      <c r="B605" s="53" t="s">
        <v>1423</v>
      </c>
      <c r="C605" s="53" t="s">
        <v>872</v>
      </c>
      <c r="D605" s="53" t="s">
        <v>157</v>
      </c>
      <c r="E605" s="53" t="s">
        <v>100</v>
      </c>
      <c r="F605" s="85">
        <v>0</v>
      </c>
      <c r="G605" s="86"/>
      <c r="H605" s="510"/>
      <c r="I605" s="90"/>
    </row>
    <row r="606" spans="1:9">
      <c r="A606" s="25" t="s">
        <v>1424</v>
      </c>
      <c r="B606" s="25" t="s">
        <v>1425</v>
      </c>
      <c r="C606" s="25" t="s">
        <v>872</v>
      </c>
      <c r="D606" s="25" t="s">
        <v>162</v>
      </c>
      <c r="E606" s="25" t="s">
        <v>100</v>
      </c>
      <c r="F606" s="82">
        <v>0</v>
      </c>
      <c r="G606" s="100"/>
      <c r="H606" s="510">
        <f t="shared" si="10"/>
        <v>0</v>
      </c>
      <c r="I606" s="90"/>
    </row>
    <row r="607" spans="1:9">
      <c r="A607" s="25" t="s">
        <v>1426</v>
      </c>
      <c r="B607" s="25" t="s">
        <v>1427</v>
      </c>
      <c r="C607" s="25" t="s">
        <v>872</v>
      </c>
      <c r="D607" s="25" t="s">
        <v>162</v>
      </c>
      <c r="E607" s="25" t="s">
        <v>100</v>
      </c>
      <c r="F607" s="82">
        <v>0</v>
      </c>
      <c r="G607" s="100"/>
      <c r="H607" s="510">
        <f t="shared" si="10"/>
        <v>0</v>
      </c>
      <c r="I607" s="90"/>
    </row>
    <row r="608" spans="1:9">
      <c r="A608" s="25" t="s">
        <v>1428</v>
      </c>
      <c r="B608" s="25" t="s">
        <v>1429</v>
      </c>
      <c r="C608" s="25" t="s">
        <v>872</v>
      </c>
      <c r="D608" s="25" t="s">
        <v>162</v>
      </c>
      <c r="E608" s="25" t="s">
        <v>100</v>
      </c>
      <c r="F608" s="82">
        <v>-4787.3999999999996</v>
      </c>
      <c r="G608" s="100"/>
      <c r="H608" s="510">
        <f t="shared" si="10"/>
        <v>-4787.3999999999996</v>
      </c>
      <c r="I608" s="90"/>
    </row>
    <row r="609" spans="1:9">
      <c r="A609" s="25" t="s">
        <v>1430</v>
      </c>
      <c r="B609" s="25" t="s">
        <v>1431</v>
      </c>
      <c r="C609" s="25" t="s">
        <v>872</v>
      </c>
      <c r="D609" s="25" t="s">
        <v>162</v>
      </c>
      <c r="E609" s="25" t="s">
        <v>100</v>
      </c>
      <c r="F609" s="82">
        <v>0</v>
      </c>
      <c r="G609" s="100"/>
      <c r="H609" s="510">
        <f t="shared" si="10"/>
        <v>0</v>
      </c>
      <c r="I609" s="90"/>
    </row>
    <row r="610" spans="1:9">
      <c r="A610" s="25" t="s">
        <v>1432</v>
      </c>
      <c r="B610" s="25" t="s">
        <v>1433</v>
      </c>
      <c r="C610" s="25" t="s">
        <v>156</v>
      </c>
      <c r="D610" s="25" t="s">
        <v>162</v>
      </c>
      <c r="E610" s="25" t="s">
        <v>100</v>
      </c>
      <c r="F610" s="82">
        <v>187250</v>
      </c>
      <c r="G610" s="100"/>
      <c r="H610" s="510">
        <f t="shared" si="10"/>
        <v>187250</v>
      </c>
      <c r="I610" s="90"/>
    </row>
    <row r="611" spans="1:9">
      <c r="A611" s="25" t="s">
        <v>1434</v>
      </c>
      <c r="B611" s="25" t="s">
        <v>1435</v>
      </c>
      <c r="C611" s="25" t="s">
        <v>156</v>
      </c>
      <c r="D611" s="25" t="s">
        <v>162</v>
      </c>
      <c r="E611" s="25" t="s">
        <v>100</v>
      </c>
      <c r="F611" s="82">
        <v>-187250</v>
      </c>
      <c r="G611" s="100"/>
      <c r="H611" s="510">
        <f t="shared" si="10"/>
        <v>-187250</v>
      </c>
      <c r="I611" s="90"/>
    </row>
    <row r="612" spans="1:9">
      <c r="A612" s="25" t="s">
        <v>1436</v>
      </c>
      <c r="B612" s="25" t="s">
        <v>1437</v>
      </c>
      <c r="C612" s="25" t="s">
        <v>872</v>
      </c>
      <c r="D612" s="25" t="s">
        <v>162</v>
      </c>
      <c r="E612" s="25" t="s">
        <v>100</v>
      </c>
      <c r="F612" s="82">
        <v>2282</v>
      </c>
      <c r="G612" s="100"/>
      <c r="H612" s="510">
        <f t="shared" si="10"/>
        <v>2282</v>
      </c>
      <c r="I612" s="155">
        <f>SUM(H606:H612)</f>
        <v>-2505.3999999999942</v>
      </c>
    </row>
    <row r="613" spans="1:9">
      <c r="A613" s="53" t="s">
        <v>1438</v>
      </c>
      <c r="B613" s="53" t="s">
        <v>1439</v>
      </c>
      <c r="C613" s="53" t="s">
        <v>872</v>
      </c>
      <c r="D613" s="53" t="s">
        <v>169</v>
      </c>
      <c r="E613" s="53" t="s">
        <v>1440</v>
      </c>
      <c r="F613" s="85">
        <v>-2505.4</v>
      </c>
      <c r="G613" s="86"/>
      <c r="H613" s="510"/>
      <c r="I613" s="90"/>
    </row>
    <row r="614" spans="1:9">
      <c r="A614" s="53" t="s">
        <v>1441</v>
      </c>
      <c r="B614" s="53" t="s">
        <v>1442</v>
      </c>
      <c r="C614" s="53" t="s">
        <v>872</v>
      </c>
      <c r="D614" s="53" t="s">
        <v>169</v>
      </c>
      <c r="E614" s="53" t="s">
        <v>1443</v>
      </c>
      <c r="F614" s="85">
        <v>-4851234.3899999997</v>
      </c>
      <c r="G614" s="86"/>
      <c r="H614" s="510"/>
      <c r="I614" s="90"/>
    </row>
    <row r="615" spans="1:9">
      <c r="A615" s="53" t="s">
        <v>1444</v>
      </c>
      <c r="B615" s="53" t="s">
        <v>1445</v>
      </c>
      <c r="C615" s="53" t="s">
        <v>872</v>
      </c>
      <c r="D615" s="53" t="s">
        <v>169</v>
      </c>
      <c r="E615" s="53" t="s">
        <v>1446</v>
      </c>
      <c r="F615" s="85">
        <v>-71310072.049999997</v>
      </c>
      <c r="G615" s="86"/>
      <c r="H615" s="510"/>
      <c r="I615" s="90"/>
    </row>
    <row r="616" spans="1:9">
      <c r="A616" s="90"/>
      <c r="B616" s="90"/>
      <c r="C616" s="90"/>
      <c r="D616" s="90"/>
      <c r="E616" s="90"/>
      <c r="F616" s="90"/>
      <c r="G616" s="511">
        <f>SUM(G3:G615)</f>
        <v>-1.3460521586239338E-10</v>
      </c>
      <c r="H616" s="155"/>
      <c r="I616" s="90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601"/>
  <sheetViews>
    <sheetView topLeftCell="A259" workbookViewId="0">
      <selection activeCell="G279" sqref="G279:H279"/>
    </sheetView>
  </sheetViews>
  <sheetFormatPr baseColWidth="10" defaultColWidth="8.5" defaultRowHeight="14"/>
  <cols>
    <col min="1" max="1" width="11" bestFit="1" customWidth="1"/>
    <col min="2" max="2" width="32.5" bestFit="1" customWidth="1"/>
    <col min="3" max="3" width="15.5" bestFit="1" customWidth="1"/>
    <col min="4" max="4" width="8" bestFit="1" customWidth="1"/>
    <col min="5" max="5" width="14" bestFit="1" customWidth="1"/>
    <col min="6" max="6" width="15" bestFit="1" customWidth="1"/>
    <col min="7" max="7" width="14" bestFit="1" customWidth="1"/>
    <col min="8" max="9" width="12" bestFit="1" customWidth="1"/>
    <col min="10" max="10" width="13" bestFit="1" customWidth="1"/>
    <col min="11" max="11" width="22" customWidth="1"/>
    <col min="12" max="14" width="14" bestFit="1" customWidth="1"/>
    <col min="15" max="15" width="12" bestFit="1" customWidth="1"/>
  </cols>
  <sheetData>
    <row r="1" spans="1:8" ht="16">
      <c r="A1" s="23" t="s">
        <v>146</v>
      </c>
      <c r="F1" s="51">
        <v>42369</v>
      </c>
    </row>
    <row r="2" spans="1:8" ht="24">
      <c r="A2" s="24" t="s">
        <v>147</v>
      </c>
      <c r="B2" s="24" t="s">
        <v>148</v>
      </c>
      <c r="C2" s="24" t="s">
        <v>149</v>
      </c>
      <c r="D2" s="24" t="s">
        <v>150</v>
      </c>
      <c r="E2" s="24" t="s">
        <v>151</v>
      </c>
      <c r="F2" s="24" t="s">
        <v>152</v>
      </c>
      <c r="G2" s="24"/>
      <c r="H2" s="24" t="s">
        <v>2182</v>
      </c>
    </row>
    <row r="3" spans="1:8">
      <c r="A3" s="25" t="s">
        <v>154</v>
      </c>
      <c r="B3" s="25" t="s">
        <v>155</v>
      </c>
      <c r="C3" s="25" t="s">
        <v>156</v>
      </c>
      <c r="D3" s="25" t="s">
        <v>157</v>
      </c>
      <c r="E3" s="25" t="s">
        <v>100</v>
      </c>
      <c r="F3" s="52">
        <v>0</v>
      </c>
      <c r="G3" s="56"/>
      <c r="H3" s="72"/>
    </row>
    <row r="4" spans="1:8">
      <c r="A4" s="25" t="s">
        <v>158</v>
      </c>
      <c r="B4" s="25" t="s">
        <v>159</v>
      </c>
      <c r="C4" s="25" t="s">
        <v>156</v>
      </c>
      <c r="D4" s="25" t="s">
        <v>157</v>
      </c>
      <c r="E4" s="25" t="s">
        <v>100</v>
      </c>
      <c r="F4" s="52">
        <v>0</v>
      </c>
      <c r="G4" s="56"/>
      <c r="H4" s="72"/>
    </row>
    <row r="5" spans="1:8">
      <c r="A5" s="25" t="s">
        <v>160</v>
      </c>
      <c r="B5" s="25" t="s">
        <v>161</v>
      </c>
      <c r="C5" s="25" t="s">
        <v>156</v>
      </c>
      <c r="D5" s="25" t="s">
        <v>162</v>
      </c>
      <c r="E5" s="25" t="s">
        <v>100</v>
      </c>
      <c r="F5" s="52">
        <v>-7201177.5</v>
      </c>
      <c r="G5" s="56">
        <v>7201178</v>
      </c>
      <c r="H5" s="72"/>
    </row>
    <row r="6" spans="1:8">
      <c r="A6" s="25" t="s">
        <v>163</v>
      </c>
      <c r="B6" s="25" t="s">
        <v>164</v>
      </c>
      <c r="C6" s="25" t="s">
        <v>156</v>
      </c>
      <c r="D6" s="25" t="s">
        <v>162</v>
      </c>
      <c r="E6" s="25" t="s">
        <v>100</v>
      </c>
      <c r="F6" s="52">
        <v>-634547.5</v>
      </c>
      <c r="G6" s="56">
        <v>634547</v>
      </c>
      <c r="H6" s="72"/>
    </row>
    <row r="7" spans="1:8">
      <c r="A7" s="25" t="s">
        <v>165</v>
      </c>
      <c r="B7" s="25" t="s">
        <v>166</v>
      </c>
      <c r="C7" s="25" t="s">
        <v>156</v>
      </c>
      <c r="D7" s="25" t="s">
        <v>162</v>
      </c>
      <c r="E7" s="25" t="s">
        <v>100</v>
      </c>
      <c r="F7" s="52">
        <v>-41627</v>
      </c>
      <c r="G7" s="56">
        <v>41627</v>
      </c>
      <c r="H7" s="72"/>
    </row>
    <row r="8" spans="1:8">
      <c r="A8" s="25" t="s">
        <v>167</v>
      </c>
      <c r="B8" s="25" t="s">
        <v>168</v>
      </c>
      <c r="C8" s="25" t="s">
        <v>156</v>
      </c>
      <c r="D8" s="53" t="s">
        <v>169</v>
      </c>
      <c r="E8" s="53" t="s">
        <v>170</v>
      </c>
      <c r="F8" s="54">
        <v>-7877352</v>
      </c>
      <c r="G8" s="57">
        <f>SUM(G5:G7)</f>
        <v>7877352</v>
      </c>
      <c r="H8" s="72"/>
    </row>
    <row r="9" spans="1:8">
      <c r="A9" s="25" t="s">
        <v>171</v>
      </c>
      <c r="B9" s="25" t="s">
        <v>172</v>
      </c>
      <c r="C9" s="25" t="s">
        <v>156</v>
      </c>
      <c r="D9" s="53" t="s">
        <v>157</v>
      </c>
      <c r="E9" s="53" t="s">
        <v>100</v>
      </c>
      <c r="F9" s="54">
        <v>0</v>
      </c>
      <c r="G9" s="57"/>
      <c r="H9" s="72"/>
    </row>
    <row r="10" spans="1:8">
      <c r="A10" s="25" t="s">
        <v>173</v>
      </c>
      <c r="B10" s="25" t="s">
        <v>174</v>
      </c>
      <c r="C10" s="25" t="s">
        <v>156</v>
      </c>
      <c r="D10" s="25" t="s">
        <v>162</v>
      </c>
      <c r="E10" s="25" t="s">
        <v>100</v>
      </c>
      <c r="F10" s="52">
        <v>-6659453</v>
      </c>
      <c r="G10" s="56">
        <v>6659453</v>
      </c>
      <c r="H10" s="72"/>
    </row>
    <row r="11" spans="1:8">
      <c r="A11" s="25" t="s">
        <v>175</v>
      </c>
      <c r="B11" s="25" t="s">
        <v>176</v>
      </c>
      <c r="C11" s="25" t="s">
        <v>156</v>
      </c>
      <c r="D11" s="25" t="s">
        <v>162</v>
      </c>
      <c r="E11" s="25" t="s">
        <v>100</v>
      </c>
      <c r="F11" s="52">
        <v>-275719</v>
      </c>
      <c r="G11" s="56">
        <v>275719</v>
      </c>
      <c r="H11" s="72"/>
    </row>
    <row r="12" spans="1:8">
      <c r="A12" s="25" t="s">
        <v>177</v>
      </c>
      <c r="B12" s="25" t="s">
        <v>178</v>
      </c>
      <c r="C12" s="25" t="s">
        <v>156</v>
      </c>
      <c r="D12" s="25" t="s">
        <v>162</v>
      </c>
      <c r="E12" s="25" t="s">
        <v>100</v>
      </c>
      <c r="F12" s="52">
        <v>-235110.62</v>
      </c>
      <c r="G12" s="56">
        <v>235111</v>
      </c>
      <c r="H12" s="72"/>
    </row>
    <row r="13" spans="1:8">
      <c r="A13" s="25" t="s">
        <v>179</v>
      </c>
      <c r="B13" s="25" t="s">
        <v>180</v>
      </c>
      <c r="C13" s="25" t="s">
        <v>156</v>
      </c>
      <c r="D13" s="25" t="s">
        <v>162</v>
      </c>
      <c r="E13" s="25" t="s">
        <v>100</v>
      </c>
      <c r="F13" s="52">
        <v>221125</v>
      </c>
      <c r="G13" s="56">
        <v>-221125</v>
      </c>
      <c r="H13" s="72"/>
    </row>
    <row r="14" spans="1:8">
      <c r="A14" s="25" t="s">
        <v>183</v>
      </c>
      <c r="B14" s="25" t="s">
        <v>184</v>
      </c>
      <c r="C14" s="25" t="s">
        <v>156</v>
      </c>
      <c r="D14" s="25" t="s">
        <v>162</v>
      </c>
      <c r="E14" s="25" t="s">
        <v>100</v>
      </c>
      <c r="F14" s="52">
        <v>-411847</v>
      </c>
      <c r="G14" s="56">
        <v>411847</v>
      </c>
      <c r="H14" s="72"/>
    </row>
    <row r="15" spans="1:8">
      <c r="A15" s="25" t="s">
        <v>185</v>
      </c>
      <c r="B15" s="25" t="s">
        <v>186</v>
      </c>
      <c r="C15" s="25" t="s">
        <v>156</v>
      </c>
      <c r="D15" s="53" t="s">
        <v>169</v>
      </c>
      <c r="E15" s="53" t="s">
        <v>187</v>
      </c>
      <c r="F15" s="54">
        <v>-7361004.6200000001</v>
      </c>
      <c r="G15" s="57">
        <f>SUM(G10:G14)</f>
        <v>7361005</v>
      </c>
      <c r="H15" s="72"/>
    </row>
    <row r="16" spans="1:8">
      <c r="A16" s="25" t="s">
        <v>188</v>
      </c>
      <c r="B16" s="25" t="s">
        <v>189</v>
      </c>
      <c r="C16" s="25" t="s">
        <v>156</v>
      </c>
      <c r="D16" s="53" t="s">
        <v>157</v>
      </c>
      <c r="E16" s="53" t="s">
        <v>100</v>
      </c>
      <c r="F16" s="54">
        <v>0</v>
      </c>
      <c r="G16" s="57"/>
      <c r="H16" s="72"/>
    </row>
    <row r="17" spans="1:8">
      <c r="A17" s="25" t="s">
        <v>190</v>
      </c>
      <c r="B17" s="25" t="s">
        <v>191</v>
      </c>
      <c r="C17" s="25" t="s">
        <v>156</v>
      </c>
      <c r="D17" s="53" t="s">
        <v>157</v>
      </c>
      <c r="E17" s="53" t="s">
        <v>100</v>
      </c>
      <c r="F17" s="54">
        <v>0</v>
      </c>
      <c r="G17" s="57"/>
      <c r="H17" s="72">
        <f>-246946+5700+10472+21645</f>
        <v>-209129</v>
      </c>
    </row>
    <row r="18" spans="1:8">
      <c r="A18" s="25" t="s">
        <v>192</v>
      </c>
      <c r="B18" s="25" t="s">
        <v>193</v>
      </c>
      <c r="C18" s="25" t="s">
        <v>156</v>
      </c>
      <c r="D18" s="25" t="s">
        <v>162</v>
      </c>
      <c r="E18" s="25" t="s">
        <v>100</v>
      </c>
      <c r="F18" s="52">
        <v>0</v>
      </c>
      <c r="G18" s="56">
        <v>0</v>
      </c>
      <c r="H18" s="72"/>
    </row>
    <row r="19" spans="1:8">
      <c r="A19" s="25" t="s">
        <v>194</v>
      </c>
      <c r="B19" s="25" t="s">
        <v>195</v>
      </c>
      <c r="C19" s="25" t="s">
        <v>156</v>
      </c>
      <c r="D19" s="53" t="s">
        <v>169</v>
      </c>
      <c r="E19" s="53" t="s">
        <v>196</v>
      </c>
      <c r="F19" s="54">
        <v>0</v>
      </c>
      <c r="G19" s="57"/>
      <c r="H19" s="72"/>
    </row>
    <row r="20" spans="1:8">
      <c r="A20" s="25" t="s">
        <v>197</v>
      </c>
      <c r="B20" s="25" t="s">
        <v>198</v>
      </c>
      <c r="C20" s="25" t="s">
        <v>156</v>
      </c>
      <c r="D20" s="53" t="s">
        <v>157</v>
      </c>
      <c r="E20" s="53" t="s">
        <v>100</v>
      </c>
      <c r="F20" s="54">
        <v>0</v>
      </c>
      <c r="G20" s="57"/>
      <c r="H20" s="72"/>
    </row>
    <row r="21" spans="1:8">
      <c r="A21" s="25" t="s">
        <v>199</v>
      </c>
      <c r="B21" s="25" t="s">
        <v>200</v>
      </c>
      <c r="C21" s="25" t="s">
        <v>156</v>
      </c>
      <c r="D21" s="25" t="s">
        <v>162</v>
      </c>
      <c r="E21" s="25" t="s">
        <v>100</v>
      </c>
      <c r="F21" s="52">
        <v>-1012812.58</v>
      </c>
      <c r="G21" s="56">
        <v>1012813</v>
      </c>
      <c r="H21" s="72"/>
    </row>
    <row r="22" spans="1:8">
      <c r="A22" s="25" t="s">
        <v>201</v>
      </c>
      <c r="B22" s="25" t="s">
        <v>202</v>
      </c>
      <c r="C22" s="25" t="s">
        <v>156</v>
      </c>
      <c r="D22" s="25" t="s">
        <v>162</v>
      </c>
      <c r="E22" s="25" t="s">
        <v>100</v>
      </c>
      <c r="F22" s="52">
        <v>-28858</v>
      </c>
      <c r="G22" s="56">
        <v>28858</v>
      </c>
      <c r="H22" s="72"/>
    </row>
    <row r="23" spans="1:8">
      <c r="A23" s="25" t="s">
        <v>203</v>
      </c>
      <c r="B23" s="25" t="s">
        <v>2149</v>
      </c>
      <c r="C23" s="25" t="s">
        <v>156</v>
      </c>
      <c r="D23" s="25" t="s">
        <v>162</v>
      </c>
      <c r="E23" s="25" t="s">
        <v>100</v>
      </c>
      <c r="F23" s="52">
        <v>195454.41</v>
      </c>
      <c r="G23" s="56">
        <v>-195454</v>
      </c>
      <c r="H23" s="72"/>
    </row>
    <row r="24" spans="1:8">
      <c r="A24" s="25" t="s">
        <v>207</v>
      </c>
      <c r="B24" s="25" t="s">
        <v>208</v>
      </c>
      <c r="C24" s="25" t="s">
        <v>156</v>
      </c>
      <c r="D24" s="25" t="s">
        <v>162</v>
      </c>
      <c r="E24" s="25" t="s">
        <v>100</v>
      </c>
      <c r="F24" s="52">
        <v>307411.53000000003</v>
      </c>
      <c r="G24" s="56">
        <v>-307412</v>
      </c>
      <c r="H24" s="72"/>
    </row>
    <row r="25" spans="1:8">
      <c r="A25" s="25" t="s">
        <v>209</v>
      </c>
      <c r="B25" s="25" t="s">
        <v>210</v>
      </c>
      <c r="C25" s="25" t="s">
        <v>156</v>
      </c>
      <c r="D25" s="25" t="s">
        <v>162</v>
      </c>
      <c r="E25" s="25" t="s">
        <v>100</v>
      </c>
      <c r="F25" s="52">
        <v>329216.96999999997</v>
      </c>
      <c r="G25" s="56">
        <v>-329217</v>
      </c>
      <c r="H25" s="72"/>
    </row>
    <row r="26" spans="1:8">
      <c r="A26" s="25" t="s">
        <v>211</v>
      </c>
      <c r="B26" s="25" t="s">
        <v>212</v>
      </c>
      <c r="C26" s="25" t="s">
        <v>156</v>
      </c>
      <c r="D26" s="25" t="s">
        <v>162</v>
      </c>
      <c r="E26" s="25" t="s">
        <v>100</v>
      </c>
      <c r="F26" s="52">
        <v>2526.21</v>
      </c>
      <c r="G26" s="56">
        <v>-2526</v>
      </c>
      <c r="H26" s="72"/>
    </row>
    <row r="27" spans="1:8">
      <c r="A27" s="25" t="s">
        <v>213</v>
      </c>
      <c r="B27" s="25" t="s">
        <v>214</v>
      </c>
      <c r="C27" s="25" t="s">
        <v>156</v>
      </c>
      <c r="D27" s="25" t="s">
        <v>162</v>
      </c>
      <c r="E27" s="25" t="s">
        <v>100</v>
      </c>
      <c r="F27" s="52">
        <v>13186.15</v>
      </c>
      <c r="G27" s="56">
        <v>-13186</v>
      </c>
      <c r="H27" s="72"/>
    </row>
    <row r="28" spans="1:8">
      <c r="A28" s="25" t="s">
        <v>215</v>
      </c>
      <c r="B28" s="25" t="s">
        <v>216</v>
      </c>
      <c r="C28" s="25" t="s">
        <v>156</v>
      </c>
      <c r="D28" s="25" t="s">
        <v>162</v>
      </c>
      <c r="E28" s="25" t="s">
        <v>100</v>
      </c>
      <c r="F28" s="52">
        <v>30000</v>
      </c>
      <c r="G28" s="56">
        <v>-30000</v>
      </c>
      <c r="H28" s="72"/>
    </row>
    <row r="29" spans="1:8">
      <c r="A29" s="25" t="s">
        <v>217</v>
      </c>
      <c r="B29" s="25" t="s">
        <v>218</v>
      </c>
      <c r="C29" s="25" t="s">
        <v>156</v>
      </c>
      <c r="D29" s="25" t="s">
        <v>162</v>
      </c>
      <c r="E29" s="25" t="s">
        <v>100</v>
      </c>
      <c r="F29" s="52">
        <v>11607.75</v>
      </c>
      <c r="G29" s="56">
        <v>-11608</v>
      </c>
      <c r="H29" s="72"/>
    </row>
    <row r="30" spans="1:8">
      <c r="A30" s="25" t="s">
        <v>219</v>
      </c>
      <c r="B30" s="25" t="s">
        <v>220</v>
      </c>
      <c r="C30" s="25" t="s">
        <v>156</v>
      </c>
      <c r="D30" s="25" t="s">
        <v>162</v>
      </c>
      <c r="E30" s="25" t="s">
        <v>100</v>
      </c>
      <c r="F30" s="52">
        <v>76742.69</v>
      </c>
      <c r="G30" s="56">
        <v>-76743</v>
      </c>
      <c r="H30" s="72"/>
    </row>
    <row r="31" spans="1:8">
      <c r="A31" s="25" t="s">
        <v>221</v>
      </c>
      <c r="B31" s="25" t="s">
        <v>222</v>
      </c>
      <c r="C31" s="25" t="s">
        <v>156</v>
      </c>
      <c r="D31" s="53" t="s">
        <v>169</v>
      </c>
      <c r="E31" s="53" t="s">
        <v>223</v>
      </c>
      <c r="F31" s="54">
        <v>-75524.87</v>
      </c>
      <c r="G31" s="57">
        <f>SUM(G21:G30)</f>
        <v>75525</v>
      </c>
      <c r="H31" s="72"/>
    </row>
    <row r="32" spans="1:8">
      <c r="A32" s="25" t="s">
        <v>224</v>
      </c>
      <c r="B32" s="25" t="s">
        <v>225</v>
      </c>
      <c r="C32" s="25" t="s">
        <v>156</v>
      </c>
      <c r="D32" s="53" t="s">
        <v>157</v>
      </c>
      <c r="E32" s="53" t="s">
        <v>100</v>
      </c>
      <c r="F32" s="54">
        <v>0</v>
      </c>
      <c r="G32" s="57"/>
      <c r="H32" s="72"/>
    </row>
    <row r="33" spans="1:8">
      <c r="A33" s="25" t="s">
        <v>226</v>
      </c>
      <c r="B33" s="25" t="s">
        <v>227</v>
      </c>
      <c r="C33" s="25" t="s">
        <v>156</v>
      </c>
      <c r="D33" s="25" t="s">
        <v>162</v>
      </c>
      <c r="E33" s="25" t="s">
        <v>100</v>
      </c>
      <c r="F33" s="52">
        <v>-2500320</v>
      </c>
      <c r="G33" s="56">
        <v>2500320</v>
      </c>
      <c r="H33" s="72"/>
    </row>
    <row r="34" spans="1:8">
      <c r="A34" s="25" t="s">
        <v>228</v>
      </c>
      <c r="B34" s="25" t="s">
        <v>229</v>
      </c>
      <c r="C34" s="25" t="s">
        <v>156</v>
      </c>
      <c r="D34" s="25" t="s">
        <v>162</v>
      </c>
      <c r="E34" s="25" t="s">
        <v>100</v>
      </c>
      <c r="F34" s="52">
        <v>134205</v>
      </c>
      <c r="G34" s="56">
        <v>-134205</v>
      </c>
      <c r="H34" s="72"/>
    </row>
    <row r="35" spans="1:8">
      <c r="A35" s="25" t="s">
        <v>230</v>
      </c>
      <c r="B35" s="25" t="s">
        <v>231</v>
      </c>
      <c r="C35" s="25" t="s">
        <v>156</v>
      </c>
      <c r="D35" s="25" t="s">
        <v>162</v>
      </c>
      <c r="E35" s="25" t="s">
        <v>100</v>
      </c>
      <c r="F35" s="52">
        <v>21160.75</v>
      </c>
      <c r="G35" s="56">
        <v>-21161</v>
      </c>
      <c r="H35" s="72"/>
    </row>
    <row r="36" spans="1:8">
      <c r="A36" s="25" t="s">
        <v>232</v>
      </c>
      <c r="B36" s="25" t="s">
        <v>233</v>
      </c>
      <c r="C36" s="25" t="s">
        <v>156</v>
      </c>
      <c r="D36" s="25" t="s">
        <v>162</v>
      </c>
      <c r="E36" s="25" t="s">
        <v>100</v>
      </c>
      <c r="F36" s="52">
        <v>343844</v>
      </c>
      <c r="G36" s="56">
        <v>-343844</v>
      </c>
      <c r="H36" s="72"/>
    </row>
    <row r="37" spans="1:8">
      <c r="A37" s="25" t="s">
        <v>234</v>
      </c>
      <c r="B37" s="25" t="s">
        <v>235</v>
      </c>
      <c r="C37" s="25" t="s">
        <v>156</v>
      </c>
      <c r="D37" s="25" t="s">
        <v>162</v>
      </c>
      <c r="E37" s="25" t="s">
        <v>100</v>
      </c>
      <c r="F37" s="52">
        <v>-32864.800000000003</v>
      </c>
      <c r="G37" s="56">
        <v>32865</v>
      </c>
      <c r="H37" s="72"/>
    </row>
    <row r="38" spans="1:8">
      <c r="A38" s="25" t="s">
        <v>236</v>
      </c>
      <c r="B38" s="25" t="s">
        <v>237</v>
      </c>
      <c r="C38" s="25" t="s">
        <v>156</v>
      </c>
      <c r="D38" s="25" t="s">
        <v>162</v>
      </c>
      <c r="E38" s="25" t="s">
        <v>100</v>
      </c>
      <c r="F38" s="52">
        <v>77489</v>
      </c>
      <c r="G38" s="56">
        <v>-77489</v>
      </c>
      <c r="H38" s="72"/>
    </row>
    <row r="39" spans="1:8">
      <c r="A39" s="25" t="s">
        <v>238</v>
      </c>
      <c r="B39" s="25" t="s">
        <v>239</v>
      </c>
      <c r="C39" s="25" t="s">
        <v>156</v>
      </c>
      <c r="D39" s="25" t="s">
        <v>162</v>
      </c>
      <c r="E39" s="25" t="s">
        <v>100</v>
      </c>
      <c r="F39" s="52">
        <v>1856356.08</v>
      </c>
      <c r="G39" s="56">
        <v>-1856356</v>
      </c>
      <c r="H39" s="72"/>
    </row>
    <row r="40" spans="1:8">
      <c r="A40" s="25" t="s">
        <v>240</v>
      </c>
      <c r="B40" s="25" t="s">
        <v>241</v>
      </c>
      <c r="C40" s="25" t="s">
        <v>156</v>
      </c>
      <c r="D40" s="53" t="s">
        <v>169</v>
      </c>
      <c r="E40" s="53" t="s">
        <v>242</v>
      </c>
      <c r="F40" s="54">
        <v>-100129.97</v>
      </c>
      <c r="G40" s="57">
        <f>SUM(G33:G39)</f>
        <v>100130</v>
      </c>
      <c r="H40" s="72"/>
    </row>
    <row r="41" spans="1:8">
      <c r="A41" s="25" t="s">
        <v>243</v>
      </c>
      <c r="B41" s="25" t="s">
        <v>244</v>
      </c>
      <c r="C41" s="25" t="s">
        <v>156</v>
      </c>
      <c r="D41" s="53" t="s">
        <v>157</v>
      </c>
      <c r="E41" s="53" t="s">
        <v>100</v>
      </c>
      <c r="F41" s="54">
        <v>0</v>
      </c>
      <c r="G41" s="57"/>
      <c r="H41" s="72"/>
    </row>
    <row r="42" spans="1:8">
      <c r="A42" s="25" t="s">
        <v>245</v>
      </c>
      <c r="B42" s="25" t="s">
        <v>246</v>
      </c>
      <c r="C42" s="25" t="s">
        <v>156</v>
      </c>
      <c r="D42" s="25" t="s">
        <v>162</v>
      </c>
      <c r="E42" s="25" t="s">
        <v>100</v>
      </c>
      <c r="F42" s="52">
        <v>-471700.36</v>
      </c>
      <c r="G42" s="56">
        <v>471700</v>
      </c>
      <c r="H42" s="72">
        <f>-1266+65010</f>
        <v>63744</v>
      </c>
    </row>
    <row r="43" spans="1:8">
      <c r="A43" s="25" t="s">
        <v>247</v>
      </c>
      <c r="B43" s="25" t="s">
        <v>248</v>
      </c>
      <c r="C43" s="25" t="s">
        <v>156</v>
      </c>
      <c r="D43" s="53" t="s">
        <v>169</v>
      </c>
      <c r="E43" s="53" t="s">
        <v>249</v>
      </c>
      <c r="F43" s="54">
        <v>-471700.36</v>
      </c>
      <c r="G43" s="57">
        <f>SUM(G42)</f>
        <v>471700</v>
      </c>
      <c r="H43" s="72"/>
    </row>
    <row r="44" spans="1:8">
      <c r="A44" s="25" t="s">
        <v>250</v>
      </c>
      <c r="B44" s="25" t="s">
        <v>251</v>
      </c>
      <c r="C44" s="25" t="s">
        <v>156</v>
      </c>
      <c r="D44" s="53" t="s">
        <v>169</v>
      </c>
      <c r="E44" s="53" t="s">
        <v>252</v>
      </c>
      <c r="F44" s="54">
        <v>-647355.19999999995</v>
      </c>
      <c r="G44" s="57">
        <f>+G43+G40+G31</f>
        <v>647355</v>
      </c>
      <c r="H44" s="72"/>
    </row>
    <row r="45" spans="1:8">
      <c r="A45" s="25" t="s">
        <v>253</v>
      </c>
      <c r="B45" s="25" t="s">
        <v>254</v>
      </c>
      <c r="C45" s="25" t="s">
        <v>156</v>
      </c>
      <c r="D45" s="53" t="s">
        <v>157</v>
      </c>
      <c r="E45" s="53" t="s">
        <v>100</v>
      </c>
      <c r="F45" s="54">
        <v>0</v>
      </c>
      <c r="G45" s="56"/>
      <c r="H45" s="72"/>
    </row>
    <row r="46" spans="1:8">
      <c r="A46" s="25" t="s">
        <v>255</v>
      </c>
      <c r="B46" s="25" t="s">
        <v>256</v>
      </c>
      <c r="C46" s="25" t="s">
        <v>156</v>
      </c>
      <c r="D46" s="25" t="s">
        <v>162</v>
      </c>
      <c r="E46" s="25" t="s">
        <v>100</v>
      </c>
      <c r="F46" s="52">
        <v>0</v>
      </c>
      <c r="G46" s="56"/>
      <c r="H46" s="72"/>
    </row>
    <row r="47" spans="1:8">
      <c r="A47" s="25" t="s">
        <v>257</v>
      </c>
      <c r="B47" s="25" t="s">
        <v>258</v>
      </c>
      <c r="C47" s="25" t="s">
        <v>156</v>
      </c>
      <c r="D47" s="25" t="s">
        <v>162</v>
      </c>
      <c r="E47" s="25" t="s">
        <v>100</v>
      </c>
      <c r="F47" s="52">
        <v>0</v>
      </c>
      <c r="G47" s="56"/>
      <c r="H47" s="72"/>
    </row>
    <row r="48" spans="1:8">
      <c r="A48" s="25" t="s">
        <v>259</v>
      </c>
      <c r="B48" s="25" t="s">
        <v>260</v>
      </c>
      <c r="C48" s="25" t="s">
        <v>156</v>
      </c>
      <c r="D48" s="25" t="s">
        <v>162</v>
      </c>
      <c r="E48" s="25" t="s">
        <v>100</v>
      </c>
      <c r="F48" s="52">
        <v>0</v>
      </c>
      <c r="G48" s="56"/>
      <c r="H48" s="72"/>
    </row>
    <row r="49" spans="1:8">
      <c r="A49" s="25" t="s">
        <v>261</v>
      </c>
      <c r="B49" s="25" t="s">
        <v>262</v>
      </c>
      <c r="C49" s="25" t="s">
        <v>156</v>
      </c>
      <c r="D49" s="25" t="s">
        <v>162</v>
      </c>
      <c r="E49" s="25" t="s">
        <v>100</v>
      </c>
      <c r="F49" s="52">
        <v>0</v>
      </c>
      <c r="G49" s="56"/>
      <c r="H49" s="72"/>
    </row>
    <row r="50" spans="1:8">
      <c r="A50" s="25" t="s">
        <v>263</v>
      </c>
      <c r="B50" s="25" t="s">
        <v>264</v>
      </c>
      <c r="C50" s="25" t="s">
        <v>156</v>
      </c>
      <c r="D50" s="25" t="s">
        <v>162</v>
      </c>
      <c r="E50" s="25" t="s">
        <v>100</v>
      </c>
      <c r="F50" s="52">
        <v>-12172.43</v>
      </c>
      <c r="G50" s="56">
        <v>12172</v>
      </c>
      <c r="H50" s="72"/>
    </row>
    <row r="51" spans="1:8">
      <c r="A51" s="25" t="s">
        <v>265</v>
      </c>
      <c r="B51" s="25" t="s">
        <v>266</v>
      </c>
      <c r="C51" s="25" t="s">
        <v>156</v>
      </c>
      <c r="D51" s="25" t="s">
        <v>162</v>
      </c>
      <c r="E51" s="25" t="s">
        <v>100</v>
      </c>
      <c r="F51" s="52">
        <v>-552.47</v>
      </c>
      <c r="G51" s="56">
        <v>552</v>
      </c>
      <c r="H51" s="72"/>
    </row>
    <row r="52" spans="1:8">
      <c r="A52" s="25" t="s">
        <v>267</v>
      </c>
      <c r="B52" s="25" t="s">
        <v>268</v>
      </c>
      <c r="C52" s="25" t="s">
        <v>156</v>
      </c>
      <c r="D52" s="25" t="s">
        <v>162</v>
      </c>
      <c r="E52" s="25" t="s">
        <v>100</v>
      </c>
      <c r="F52" s="52">
        <v>0</v>
      </c>
      <c r="G52" s="56"/>
      <c r="H52" s="72"/>
    </row>
    <row r="53" spans="1:8">
      <c r="A53" s="25" t="s">
        <v>269</v>
      </c>
      <c r="B53" s="25" t="s">
        <v>270</v>
      </c>
      <c r="C53" s="25" t="s">
        <v>156</v>
      </c>
      <c r="D53" s="25" t="s">
        <v>162</v>
      </c>
      <c r="E53" s="25" t="s">
        <v>100</v>
      </c>
      <c r="F53" s="52">
        <v>-107724.8</v>
      </c>
      <c r="G53" s="56">
        <v>107725</v>
      </c>
      <c r="H53" s="72"/>
    </row>
    <row r="54" spans="1:8">
      <c r="A54" s="25" t="s">
        <v>2224</v>
      </c>
      <c r="B54" s="25" t="s">
        <v>835</v>
      </c>
      <c r="C54" s="25" t="s">
        <v>156</v>
      </c>
      <c r="D54" s="25" t="s">
        <v>162</v>
      </c>
      <c r="E54" s="25" t="s">
        <v>100</v>
      </c>
      <c r="F54" s="52">
        <v>353.13</v>
      </c>
      <c r="G54" s="56">
        <v>-353</v>
      </c>
      <c r="H54" s="72"/>
    </row>
    <row r="55" spans="1:8">
      <c r="A55" s="25" t="s">
        <v>271</v>
      </c>
      <c r="B55" s="25" t="s">
        <v>272</v>
      </c>
      <c r="C55" s="25" t="s">
        <v>156</v>
      </c>
      <c r="D55" s="25" t="s">
        <v>162</v>
      </c>
      <c r="E55" s="25" t="s">
        <v>100</v>
      </c>
      <c r="F55" s="52">
        <v>0</v>
      </c>
      <c r="G55" s="56"/>
      <c r="H55" s="72"/>
    </row>
    <row r="56" spans="1:8">
      <c r="A56" s="25" t="s">
        <v>273</v>
      </c>
      <c r="B56" s="25" t="s">
        <v>274</v>
      </c>
      <c r="C56" s="25" t="s">
        <v>156</v>
      </c>
      <c r="D56" s="25" t="s">
        <v>162</v>
      </c>
      <c r="E56" s="25" t="s">
        <v>100</v>
      </c>
      <c r="F56" s="52">
        <v>-22799.71</v>
      </c>
      <c r="G56" s="56">
        <v>22800</v>
      </c>
      <c r="H56" s="72"/>
    </row>
    <row r="57" spans="1:8">
      <c r="A57" s="25" t="s">
        <v>2225</v>
      </c>
      <c r="B57" s="25" t="s">
        <v>837</v>
      </c>
      <c r="C57" s="25" t="s">
        <v>156</v>
      </c>
      <c r="D57" s="25" t="s">
        <v>162</v>
      </c>
      <c r="E57" s="25" t="s">
        <v>100</v>
      </c>
      <c r="F57" s="52">
        <v>23221.77</v>
      </c>
      <c r="G57" s="56">
        <v>-23222</v>
      </c>
      <c r="H57" s="72"/>
    </row>
    <row r="58" spans="1:8">
      <c r="A58" s="25" t="s">
        <v>275</v>
      </c>
      <c r="B58" s="25" t="s">
        <v>254</v>
      </c>
      <c r="C58" s="25" t="s">
        <v>156</v>
      </c>
      <c r="D58" s="53" t="s">
        <v>169</v>
      </c>
      <c r="E58" s="53" t="s">
        <v>276</v>
      </c>
      <c r="F58" s="54">
        <v>-119674.51</v>
      </c>
      <c r="G58" s="57">
        <f>SUM(G46:G57)</f>
        <v>119674</v>
      </c>
      <c r="H58" s="72"/>
    </row>
    <row r="59" spans="1:8">
      <c r="A59" s="25" t="s">
        <v>277</v>
      </c>
      <c r="B59" s="25" t="s">
        <v>278</v>
      </c>
      <c r="C59" s="25" t="s">
        <v>156</v>
      </c>
      <c r="D59" s="53" t="s">
        <v>169</v>
      </c>
      <c r="E59" s="53" t="s">
        <v>279</v>
      </c>
      <c r="F59" s="54">
        <v>-16005386.33</v>
      </c>
      <c r="G59" s="57">
        <f>+G8+G15+G44+G58</f>
        <v>16005386</v>
      </c>
      <c r="H59" s="72"/>
    </row>
    <row r="60" spans="1:8">
      <c r="A60" s="25" t="s">
        <v>280</v>
      </c>
      <c r="B60" s="25" t="s">
        <v>281</v>
      </c>
      <c r="C60" s="25" t="s">
        <v>156</v>
      </c>
      <c r="D60" s="53" t="s">
        <v>157</v>
      </c>
      <c r="E60" s="53" t="s">
        <v>100</v>
      </c>
      <c r="F60" s="54">
        <v>0</v>
      </c>
      <c r="G60" s="56"/>
      <c r="H60" s="72"/>
    </row>
    <row r="61" spans="1:8">
      <c r="A61" s="25" t="s">
        <v>282</v>
      </c>
      <c r="B61" s="25" t="s">
        <v>281</v>
      </c>
      <c r="C61" s="25" t="s">
        <v>156</v>
      </c>
      <c r="D61" s="53" t="s">
        <v>157</v>
      </c>
      <c r="E61" s="53" t="s">
        <v>100</v>
      </c>
      <c r="F61" s="54">
        <v>0</v>
      </c>
      <c r="G61" s="56"/>
      <c r="H61" s="72"/>
    </row>
    <row r="62" spans="1:8">
      <c r="A62" s="25" t="s">
        <v>283</v>
      </c>
      <c r="B62" s="25" t="s">
        <v>284</v>
      </c>
      <c r="C62" s="25" t="s">
        <v>156</v>
      </c>
      <c r="D62" s="53" t="s">
        <v>157</v>
      </c>
      <c r="E62" s="53" t="s">
        <v>100</v>
      </c>
      <c r="F62" s="54">
        <v>0</v>
      </c>
      <c r="G62" s="56"/>
      <c r="H62" s="72"/>
    </row>
    <row r="63" spans="1:8">
      <c r="A63" s="25" t="s">
        <v>285</v>
      </c>
      <c r="B63" s="25" t="s">
        <v>286</v>
      </c>
      <c r="C63" s="25" t="s">
        <v>156</v>
      </c>
      <c r="D63" s="25" t="s">
        <v>157</v>
      </c>
      <c r="E63" s="25" t="s">
        <v>100</v>
      </c>
      <c r="F63" s="52">
        <v>0</v>
      </c>
      <c r="G63" s="56"/>
      <c r="H63" s="72"/>
    </row>
    <row r="64" spans="1:8">
      <c r="A64" s="25" t="s">
        <v>287</v>
      </c>
      <c r="B64" s="25" t="s">
        <v>288</v>
      </c>
      <c r="C64" s="25" t="s">
        <v>156</v>
      </c>
      <c r="D64" s="25" t="s">
        <v>162</v>
      </c>
      <c r="E64" s="25" t="s">
        <v>100</v>
      </c>
      <c r="F64" s="52">
        <v>8024541.0199999996</v>
      </c>
      <c r="G64" s="56">
        <v>8024541</v>
      </c>
      <c r="H64" s="72"/>
    </row>
    <row r="65" spans="1:8">
      <c r="A65" s="25" t="s">
        <v>289</v>
      </c>
      <c r="B65" s="25" t="s">
        <v>290</v>
      </c>
      <c r="C65" s="25" t="s">
        <v>156</v>
      </c>
      <c r="D65" s="25" t="s">
        <v>162</v>
      </c>
      <c r="E65" s="25" t="s">
        <v>100</v>
      </c>
      <c r="F65" s="52">
        <v>3271.56</v>
      </c>
      <c r="G65" s="56">
        <v>3272</v>
      </c>
      <c r="H65" s="72"/>
    </row>
    <row r="66" spans="1:8">
      <c r="A66" s="25" t="s">
        <v>291</v>
      </c>
      <c r="B66" s="25" t="s">
        <v>292</v>
      </c>
      <c r="C66" s="25" t="s">
        <v>156</v>
      </c>
      <c r="D66" s="25" t="s">
        <v>162</v>
      </c>
      <c r="E66" s="25" t="s">
        <v>100</v>
      </c>
      <c r="F66" s="52">
        <v>0</v>
      </c>
      <c r="G66" s="56">
        <v>0</v>
      </c>
      <c r="H66" s="72"/>
    </row>
    <row r="67" spans="1:8">
      <c r="A67" s="25" t="s">
        <v>293</v>
      </c>
      <c r="B67" s="25" t="s">
        <v>294</v>
      </c>
      <c r="C67" s="25" t="s">
        <v>156</v>
      </c>
      <c r="D67" s="25" t="s">
        <v>162</v>
      </c>
      <c r="E67" s="25" t="s">
        <v>100</v>
      </c>
      <c r="F67" s="52">
        <v>-654128.35</v>
      </c>
      <c r="G67" s="56">
        <v>-654128</v>
      </c>
      <c r="H67" s="72"/>
    </row>
    <row r="68" spans="1:8">
      <c r="A68" s="25" t="s">
        <v>295</v>
      </c>
      <c r="B68" s="25" t="s">
        <v>296</v>
      </c>
      <c r="C68" s="25" t="s">
        <v>156</v>
      </c>
      <c r="D68" s="25" t="s">
        <v>162</v>
      </c>
      <c r="E68" s="25" t="s">
        <v>100</v>
      </c>
      <c r="F68" s="52">
        <v>361792.43</v>
      </c>
      <c r="G68" s="56">
        <v>361792</v>
      </c>
      <c r="H68" s="72"/>
    </row>
    <row r="69" spans="1:8">
      <c r="A69" s="25" t="s">
        <v>297</v>
      </c>
      <c r="B69" s="25" t="s">
        <v>298</v>
      </c>
      <c r="C69" s="25" t="s">
        <v>156</v>
      </c>
      <c r="D69" s="25" t="s">
        <v>162</v>
      </c>
      <c r="E69" s="25" t="s">
        <v>100</v>
      </c>
      <c r="F69" s="52">
        <v>835351.72</v>
      </c>
      <c r="G69" s="56">
        <v>835352</v>
      </c>
      <c r="H69" s="72"/>
    </row>
    <row r="70" spans="1:8">
      <c r="A70" s="25" t="s">
        <v>299</v>
      </c>
      <c r="B70" s="25" t="s">
        <v>300</v>
      </c>
      <c r="C70" s="25" t="s">
        <v>156</v>
      </c>
      <c r="D70" s="25" t="s">
        <v>162</v>
      </c>
      <c r="E70" s="25" t="s">
        <v>100</v>
      </c>
      <c r="F70" s="52">
        <v>191072.14</v>
      </c>
      <c r="G70" s="56">
        <v>191072</v>
      </c>
      <c r="H70" s="72"/>
    </row>
    <row r="71" spans="1:8">
      <c r="A71" s="25" t="s">
        <v>301</v>
      </c>
      <c r="B71" s="25" t="s">
        <v>302</v>
      </c>
      <c r="C71" s="25" t="s">
        <v>156</v>
      </c>
      <c r="D71" s="25" t="s">
        <v>162</v>
      </c>
      <c r="E71" s="25" t="s">
        <v>100</v>
      </c>
      <c r="F71" s="52">
        <v>155645.22</v>
      </c>
      <c r="G71" s="56">
        <v>155645</v>
      </c>
      <c r="H71" s="72"/>
    </row>
    <row r="72" spans="1:8">
      <c r="A72" s="25" t="s">
        <v>303</v>
      </c>
      <c r="B72" s="25" t="s">
        <v>304</v>
      </c>
      <c r="C72" s="25" t="s">
        <v>156</v>
      </c>
      <c r="D72" s="25" t="s">
        <v>162</v>
      </c>
      <c r="E72" s="25" t="s">
        <v>100</v>
      </c>
      <c r="F72" s="52">
        <v>-540252.68999999994</v>
      </c>
      <c r="G72" s="56">
        <v>-540253</v>
      </c>
      <c r="H72" s="72">
        <v>-87600</v>
      </c>
    </row>
    <row r="73" spans="1:8">
      <c r="A73" s="25" t="s">
        <v>305</v>
      </c>
      <c r="B73" s="25" t="s">
        <v>306</v>
      </c>
      <c r="C73" s="25" t="s">
        <v>156</v>
      </c>
      <c r="D73" s="25" t="s">
        <v>162</v>
      </c>
      <c r="E73" s="25" t="s">
        <v>100</v>
      </c>
      <c r="F73" s="52">
        <v>126435.89</v>
      </c>
      <c r="G73" s="56">
        <v>126436</v>
      </c>
      <c r="H73" s="72">
        <v>-394</v>
      </c>
    </row>
    <row r="74" spans="1:8">
      <c r="A74" s="25" t="s">
        <v>2226</v>
      </c>
      <c r="B74" s="25" t="s">
        <v>727</v>
      </c>
      <c r="C74" s="25" t="s">
        <v>156</v>
      </c>
      <c r="D74" s="25" t="s">
        <v>162</v>
      </c>
      <c r="E74" s="25" t="s">
        <v>100</v>
      </c>
      <c r="F74" s="52">
        <v>-120115</v>
      </c>
      <c r="G74" s="56">
        <v>-120115</v>
      </c>
      <c r="H74" s="76">
        <v>120115</v>
      </c>
    </row>
    <row r="75" spans="1:8">
      <c r="A75" s="25" t="s">
        <v>307</v>
      </c>
      <c r="B75" s="25" t="s">
        <v>308</v>
      </c>
      <c r="C75" s="25" t="s">
        <v>156</v>
      </c>
      <c r="D75" s="25" t="s">
        <v>162</v>
      </c>
      <c r="E75" s="25" t="s">
        <v>100</v>
      </c>
      <c r="F75" s="52">
        <v>-38575.589999999997</v>
      </c>
      <c r="G75" s="56">
        <v>-38576</v>
      </c>
      <c r="H75" s="72"/>
    </row>
    <row r="76" spans="1:8">
      <c r="A76" s="25" t="s">
        <v>309</v>
      </c>
      <c r="B76" s="25" t="s">
        <v>310</v>
      </c>
      <c r="C76" s="25" t="s">
        <v>156</v>
      </c>
      <c r="D76" s="25" t="s">
        <v>162</v>
      </c>
      <c r="E76" s="25" t="s">
        <v>100</v>
      </c>
      <c r="F76" s="52">
        <v>0</v>
      </c>
      <c r="G76" s="56"/>
      <c r="H76" s="72"/>
    </row>
    <row r="77" spans="1:8">
      <c r="A77" s="25" t="s">
        <v>311</v>
      </c>
      <c r="B77" s="25" t="s">
        <v>312</v>
      </c>
      <c r="C77" s="25" t="s">
        <v>156</v>
      </c>
      <c r="D77" s="53" t="s">
        <v>169</v>
      </c>
      <c r="E77" s="53" t="s">
        <v>313</v>
      </c>
      <c r="F77" s="54">
        <v>8345038.3499999996</v>
      </c>
      <c r="G77" s="57">
        <f>SUM(G63:G76)</f>
        <v>8345038</v>
      </c>
      <c r="H77" s="72"/>
    </row>
    <row r="78" spans="1:8">
      <c r="A78" s="25" t="s">
        <v>314</v>
      </c>
      <c r="B78" s="25" t="s">
        <v>315</v>
      </c>
      <c r="C78" s="25" t="s">
        <v>156</v>
      </c>
      <c r="D78" s="53" t="s">
        <v>157</v>
      </c>
      <c r="E78" s="53" t="s">
        <v>100</v>
      </c>
      <c r="F78" s="54">
        <v>0</v>
      </c>
      <c r="G78" s="57"/>
      <c r="H78" s="72"/>
    </row>
    <row r="79" spans="1:8">
      <c r="A79" s="25" t="s">
        <v>316</v>
      </c>
      <c r="B79" s="25" t="s">
        <v>317</v>
      </c>
      <c r="C79" s="25" t="s">
        <v>156</v>
      </c>
      <c r="D79" s="25" t="s">
        <v>162</v>
      </c>
      <c r="E79" s="25" t="s">
        <v>100</v>
      </c>
      <c r="F79" s="52">
        <v>371599.88</v>
      </c>
      <c r="G79" s="56">
        <v>371600</v>
      </c>
      <c r="H79" s="72"/>
    </row>
    <row r="80" spans="1:8">
      <c r="A80" s="25" t="s">
        <v>318</v>
      </c>
      <c r="B80" s="25" t="s">
        <v>319</v>
      </c>
      <c r="C80" s="25" t="s">
        <v>156</v>
      </c>
      <c r="D80" s="25" t="s">
        <v>162</v>
      </c>
      <c r="E80" s="25" t="s">
        <v>100</v>
      </c>
      <c r="F80" s="52">
        <v>1750</v>
      </c>
      <c r="G80" s="56">
        <v>1750</v>
      </c>
      <c r="H80" s="72"/>
    </row>
    <row r="81" spans="1:8">
      <c r="A81" s="25" t="s">
        <v>320</v>
      </c>
      <c r="B81" s="25" t="s">
        <v>321</v>
      </c>
      <c r="C81" s="25" t="s">
        <v>156</v>
      </c>
      <c r="D81" s="25" t="s">
        <v>162</v>
      </c>
      <c r="E81" s="25" t="s">
        <v>100</v>
      </c>
      <c r="F81" s="52">
        <v>150962.25</v>
      </c>
      <c r="G81" s="56">
        <v>150962</v>
      </c>
      <c r="H81" s="72">
        <v>32854</v>
      </c>
    </row>
    <row r="82" spans="1:8">
      <c r="A82" s="25" t="s">
        <v>322</v>
      </c>
      <c r="B82" s="25" t="s">
        <v>323</v>
      </c>
      <c r="C82" s="25" t="s">
        <v>156</v>
      </c>
      <c r="D82" s="25" t="s">
        <v>162</v>
      </c>
      <c r="E82" s="25" t="s">
        <v>100</v>
      </c>
      <c r="F82" s="52">
        <v>128104.61</v>
      </c>
      <c r="G82" s="56">
        <v>128105</v>
      </c>
      <c r="H82" s="72"/>
    </row>
    <row r="83" spans="1:8">
      <c r="A83" s="25" t="s">
        <v>324</v>
      </c>
      <c r="B83" s="25" t="s">
        <v>325</v>
      </c>
      <c r="C83" s="25" t="s">
        <v>156</v>
      </c>
      <c r="D83" s="25" t="s">
        <v>162</v>
      </c>
      <c r="E83" s="25" t="s">
        <v>100</v>
      </c>
      <c r="F83" s="52">
        <v>5439.48</v>
      </c>
      <c r="G83" s="56">
        <v>5439</v>
      </c>
      <c r="H83" s="72"/>
    </row>
    <row r="84" spans="1:8">
      <c r="A84" s="25" t="s">
        <v>326</v>
      </c>
      <c r="B84" s="25" t="s">
        <v>2150</v>
      </c>
      <c r="C84" s="25" t="s">
        <v>156</v>
      </c>
      <c r="D84" s="25" t="s">
        <v>162</v>
      </c>
      <c r="E84" s="25" t="s">
        <v>100</v>
      </c>
      <c r="F84" s="52">
        <v>54435.01</v>
      </c>
      <c r="G84" s="56">
        <v>54435</v>
      </c>
      <c r="H84" s="72"/>
    </row>
    <row r="85" spans="1:8">
      <c r="A85" s="25" t="s">
        <v>328</v>
      </c>
      <c r="B85" s="25" t="s">
        <v>329</v>
      </c>
      <c r="C85" s="25" t="s">
        <v>156</v>
      </c>
      <c r="D85" s="53" t="s">
        <v>169</v>
      </c>
      <c r="E85" s="53" t="s">
        <v>330</v>
      </c>
      <c r="F85" s="54">
        <v>712291.23</v>
      </c>
      <c r="G85" s="57">
        <f>SUM(G79:G84)</f>
        <v>712291</v>
      </c>
      <c r="H85" s="72"/>
    </row>
    <row r="86" spans="1:8">
      <c r="A86" s="25" t="s">
        <v>331</v>
      </c>
      <c r="B86" s="25" t="s">
        <v>332</v>
      </c>
      <c r="C86" s="25" t="s">
        <v>156</v>
      </c>
      <c r="D86" s="53" t="s">
        <v>157</v>
      </c>
      <c r="E86" s="53" t="s">
        <v>100</v>
      </c>
      <c r="F86" s="54">
        <v>0</v>
      </c>
      <c r="G86" s="57"/>
      <c r="H86" s="72"/>
    </row>
    <row r="87" spans="1:8">
      <c r="A87" s="25" t="s">
        <v>333</v>
      </c>
      <c r="B87" s="25" t="s">
        <v>334</v>
      </c>
      <c r="C87" s="25" t="s">
        <v>156</v>
      </c>
      <c r="D87" s="25" t="s">
        <v>162</v>
      </c>
      <c r="E87" s="25" t="s">
        <v>100</v>
      </c>
      <c r="F87" s="52">
        <v>115028.55</v>
      </c>
      <c r="G87" s="56">
        <v>115029</v>
      </c>
      <c r="H87" s="72"/>
    </row>
    <row r="88" spans="1:8">
      <c r="A88" s="25" t="s">
        <v>335</v>
      </c>
      <c r="B88" s="25" t="s">
        <v>336</v>
      </c>
      <c r="C88" s="25" t="s">
        <v>156</v>
      </c>
      <c r="D88" s="25" t="s">
        <v>162</v>
      </c>
      <c r="E88" s="25" t="s">
        <v>100</v>
      </c>
      <c r="F88" s="52">
        <v>93107.14</v>
      </c>
      <c r="G88" s="56">
        <v>93107</v>
      </c>
      <c r="H88" s="72"/>
    </row>
    <row r="89" spans="1:8">
      <c r="A89" s="25" t="s">
        <v>337</v>
      </c>
      <c r="B89" s="25" t="s">
        <v>338</v>
      </c>
      <c r="C89" s="25" t="s">
        <v>156</v>
      </c>
      <c r="D89" s="53" t="s">
        <v>169</v>
      </c>
      <c r="E89" s="53" t="s">
        <v>339</v>
      </c>
      <c r="F89" s="54">
        <v>208135.69</v>
      </c>
      <c r="G89" s="57">
        <f>SUM(G87:G88)</f>
        <v>208136</v>
      </c>
      <c r="H89" s="72"/>
    </row>
    <row r="90" spans="1:8">
      <c r="A90" s="25" t="s">
        <v>340</v>
      </c>
      <c r="B90" s="25" t="s">
        <v>341</v>
      </c>
      <c r="C90" s="25" t="s">
        <v>156</v>
      </c>
      <c r="D90" s="53" t="s">
        <v>169</v>
      </c>
      <c r="E90" s="53" t="s">
        <v>342</v>
      </c>
      <c r="F90" s="54">
        <v>9265465.2699999996</v>
      </c>
      <c r="G90" s="57">
        <f>+G89+G85+G77</f>
        <v>9265465</v>
      </c>
      <c r="H90" s="72"/>
    </row>
    <row r="91" spans="1:8">
      <c r="A91" s="25" t="s">
        <v>2151</v>
      </c>
      <c r="B91" s="25" t="s">
        <v>371</v>
      </c>
      <c r="C91" s="25" t="s">
        <v>156</v>
      </c>
      <c r="D91" s="53" t="s">
        <v>157</v>
      </c>
      <c r="E91" s="53" t="s">
        <v>100</v>
      </c>
      <c r="F91" s="54">
        <v>0</v>
      </c>
      <c r="G91" s="57"/>
      <c r="H91" s="72"/>
    </row>
    <row r="92" spans="1:8">
      <c r="A92" s="25" t="s">
        <v>343</v>
      </c>
      <c r="B92" s="25" t="s">
        <v>2183</v>
      </c>
      <c r="C92" s="25" t="s">
        <v>156</v>
      </c>
      <c r="D92" s="53" t="s">
        <v>157</v>
      </c>
      <c r="E92" s="53" t="s">
        <v>100</v>
      </c>
      <c r="F92" s="54">
        <v>0</v>
      </c>
      <c r="G92" s="57"/>
      <c r="H92" s="72"/>
    </row>
    <row r="93" spans="1:8">
      <c r="A93" s="25" t="s">
        <v>361</v>
      </c>
      <c r="B93" s="25" t="s">
        <v>2152</v>
      </c>
      <c r="C93" s="25" t="s">
        <v>156</v>
      </c>
      <c r="D93" s="25" t="s">
        <v>162</v>
      </c>
      <c r="E93" s="25" t="s">
        <v>100</v>
      </c>
      <c r="F93" s="52">
        <v>0</v>
      </c>
      <c r="G93" s="56">
        <v>0</v>
      </c>
      <c r="H93" s="72"/>
    </row>
    <row r="94" spans="1:8">
      <c r="A94" s="25" t="s">
        <v>363</v>
      </c>
      <c r="B94" s="25" t="s">
        <v>2153</v>
      </c>
      <c r="C94" s="25" t="s">
        <v>156</v>
      </c>
      <c r="D94" s="25" t="s">
        <v>162</v>
      </c>
      <c r="E94" s="25" t="s">
        <v>100</v>
      </c>
      <c r="F94" s="52">
        <v>2475</v>
      </c>
      <c r="G94" s="56">
        <v>2475</v>
      </c>
      <c r="H94" s="72"/>
    </row>
    <row r="95" spans="1:8">
      <c r="A95" s="25" t="s">
        <v>365</v>
      </c>
      <c r="B95" s="25" t="s">
        <v>366</v>
      </c>
      <c r="C95" s="25" t="s">
        <v>156</v>
      </c>
      <c r="D95" s="25" t="s">
        <v>162</v>
      </c>
      <c r="E95" s="25" t="s">
        <v>100</v>
      </c>
      <c r="F95" s="52">
        <v>0</v>
      </c>
      <c r="G95" s="56">
        <v>0</v>
      </c>
      <c r="H95" s="72"/>
    </row>
    <row r="96" spans="1:8">
      <c r="A96" s="25" t="s">
        <v>2227</v>
      </c>
      <c r="B96" s="25" t="s">
        <v>2228</v>
      </c>
      <c r="C96" s="25" t="s">
        <v>156</v>
      </c>
      <c r="D96" s="53" t="s">
        <v>169</v>
      </c>
      <c r="E96" s="53" t="s">
        <v>2229</v>
      </c>
      <c r="F96" s="54">
        <v>2475</v>
      </c>
      <c r="G96" s="57">
        <f>SUM(G93:G95)</f>
        <v>2475</v>
      </c>
      <c r="H96" s="72"/>
    </row>
    <row r="97" spans="1:9">
      <c r="A97" s="25" t="s">
        <v>370</v>
      </c>
      <c r="B97" s="25" t="s">
        <v>2154</v>
      </c>
      <c r="C97" s="25" t="s">
        <v>156</v>
      </c>
      <c r="D97" s="53" t="s">
        <v>157</v>
      </c>
      <c r="E97" s="53" t="s">
        <v>100</v>
      </c>
      <c r="F97" s="54">
        <v>0</v>
      </c>
      <c r="G97" s="56"/>
      <c r="H97" s="72"/>
    </row>
    <row r="98" spans="1:9">
      <c r="A98" s="25" t="s">
        <v>374</v>
      </c>
      <c r="B98" s="25" t="s">
        <v>375</v>
      </c>
      <c r="C98" s="25" t="s">
        <v>156</v>
      </c>
      <c r="D98" s="25" t="s">
        <v>162</v>
      </c>
      <c r="E98" s="25" t="s">
        <v>100</v>
      </c>
      <c r="F98" s="52">
        <v>40068.25</v>
      </c>
      <c r="G98" s="56">
        <v>40068</v>
      </c>
      <c r="H98" s="76">
        <f>30000+4270</f>
        <v>34270</v>
      </c>
      <c r="I98" t="s">
        <v>2230</v>
      </c>
    </row>
    <row r="99" spans="1:9">
      <c r="A99" s="25" t="s">
        <v>2155</v>
      </c>
      <c r="B99" s="25" t="s">
        <v>2156</v>
      </c>
      <c r="C99" s="25" t="s">
        <v>156</v>
      </c>
      <c r="D99" s="25" t="s">
        <v>162</v>
      </c>
      <c r="E99" s="25" t="s">
        <v>100</v>
      </c>
      <c r="F99" s="52">
        <v>0</v>
      </c>
      <c r="G99" s="56">
        <v>0</v>
      </c>
      <c r="H99" s="72"/>
    </row>
    <row r="100" spans="1:9">
      <c r="A100" s="25" t="s">
        <v>378</v>
      </c>
      <c r="B100" s="25" t="s">
        <v>379</v>
      </c>
      <c r="C100" s="25" t="s">
        <v>156</v>
      </c>
      <c r="D100" s="53" t="s">
        <v>169</v>
      </c>
      <c r="E100" s="53" t="s">
        <v>2157</v>
      </c>
      <c r="F100" s="54">
        <v>40068.25</v>
      </c>
      <c r="G100" s="57">
        <f>SUM(G98:G99)</f>
        <v>40068</v>
      </c>
      <c r="H100" s="72"/>
    </row>
    <row r="101" spans="1:9">
      <c r="A101" s="25" t="s">
        <v>2187</v>
      </c>
      <c r="B101" s="25" t="s">
        <v>2210</v>
      </c>
      <c r="C101" s="25" t="s">
        <v>156</v>
      </c>
      <c r="D101" s="53" t="s">
        <v>157</v>
      </c>
      <c r="E101" s="53" t="s">
        <v>100</v>
      </c>
      <c r="F101" s="54">
        <v>0</v>
      </c>
      <c r="G101" s="57"/>
      <c r="H101" s="72"/>
    </row>
    <row r="102" spans="1:9">
      <c r="A102" s="25" t="s">
        <v>2188</v>
      </c>
      <c r="B102" s="25" t="s">
        <v>346</v>
      </c>
      <c r="C102" s="25" t="s">
        <v>156</v>
      </c>
      <c r="D102" s="25" t="s">
        <v>162</v>
      </c>
      <c r="E102" s="25" t="s">
        <v>100</v>
      </c>
      <c r="F102" s="52">
        <v>-71203.070000000007</v>
      </c>
      <c r="G102" s="56">
        <v>-71203</v>
      </c>
      <c r="H102" s="72"/>
    </row>
    <row r="103" spans="1:9">
      <c r="A103" s="25" t="s">
        <v>2189</v>
      </c>
      <c r="B103" s="25" t="s">
        <v>348</v>
      </c>
      <c r="C103" s="25" t="s">
        <v>156</v>
      </c>
      <c r="D103" s="25" t="s">
        <v>162</v>
      </c>
      <c r="E103" s="25" t="s">
        <v>100</v>
      </c>
      <c r="F103" s="52">
        <v>72552.22</v>
      </c>
      <c r="G103" s="56">
        <v>72552</v>
      </c>
      <c r="H103" s="72">
        <v>824</v>
      </c>
    </row>
    <row r="104" spans="1:9">
      <c r="A104" s="25" t="s">
        <v>2190</v>
      </c>
      <c r="B104" s="25" t="s">
        <v>350</v>
      </c>
      <c r="C104" s="25" t="s">
        <v>156</v>
      </c>
      <c r="D104" s="25" t="s">
        <v>162</v>
      </c>
      <c r="E104" s="25" t="s">
        <v>100</v>
      </c>
      <c r="F104" s="52">
        <v>230</v>
      </c>
      <c r="G104" s="56">
        <v>230</v>
      </c>
      <c r="H104" s="72"/>
    </row>
    <row r="105" spans="1:9">
      <c r="A105" s="25" t="s">
        <v>2191</v>
      </c>
      <c r="B105" s="25" t="s">
        <v>352</v>
      </c>
      <c r="C105" s="25" t="s">
        <v>156</v>
      </c>
      <c r="D105" s="25" t="s">
        <v>162</v>
      </c>
      <c r="E105" s="25" t="s">
        <v>100</v>
      </c>
      <c r="F105" s="52">
        <v>67787.34</v>
      </c>
      <c r="G105" s="56">
        <v>67787</v>
      </c>
      <c r="H105" s="72"/>
    </row>
    <row r="106" spans="1:9">
      <c r="A106" s="25" t="s">
        <v>2192</v>
      </c>
      <c r="B106" s="25" t="s">
        <v>2211</v>
      </c>
      <c r="C106" s="25" t="s">
        <v>156</v>
      </c>
      <c r="D106" s="25" t="s">
        <v>162</v>
      </c>
      <c r="E106" s="25" t="s">
        <v>100</v>
      </c>
      <c r="F106" s="52">
        <v>28863.14</v>
      </c>
      <c r="G106" s="56">
        <v>28863</v>
      </c>
      <c r="H106" s="72"/>
    </row>
    <row r="107" spans="1:9">
      <c r="A107" s="25" t="s">
        <v>2193</v>
      </c>
      <c r="B107" s="25" t="s">
        <v>2231</v>
      </c>
      <c r="C107" s="25" t="s">
        <v>156</v>
      </c>
      <c r="D107" s="25" t="s">
        <v>162</v>
      </c>
      <c r="E107" s="25" t="s">
        <v>100</v>
      </c>
      <c r="F107" s="52">
        <v>0</v>
      </c>
      <c r="G107" s="56">
        <v>0</v>
      </c>
      <c r="H107" s="72"/>
    </row>
    <row r="108" spans="1:9">
      <c r="A108" s="25" t="s">
        <v>2194</v>
      </c>
      <c r="B108" s="25" t="s">
        <v>2212</v>
      </c>
      <c r="C108" s="25" t="s">
        <v>156</v>
      </c>
      <c r="D108" s="25" t="s">
        <v>162</v>
      </c>
      <c r="E108" s="25" t="s">
        <v>100</v>
      </c>
      <c r="F108" s="52">
        <v>77766.850000000006</v>
      </c>
      <c r="G108" s="56">
        <v>77767</v>
      </c>
      <c r="H108" s="72"/>
    </row>
    <row r="109" spans="1:9">
      <c r="A109" s="25" t="s">
        <v>2195</v>
      </c>
      <c r="B109" s="25" t="s">
        <v>2213</v>
      </c>
      <c r="C109" s="25" t="s">
        <v>156</v>
      </c>
      <c r="D109" s="25" t="s">
        <v>162</v>
      </c>
      <c r="E109" s="25" t="s">
        <v>100</v>
      </c>
      <c r="F109" s="52">
        <v>12500</v>
      </c>
      <c r="G109" s="56">
        <v>12500</v>
      </c>
      <c r="H109" s="72"/>
    </row>
    <row r="110" spans="1:9">
      <c r="A110" s="25" t="s">
        <v>2232</v>
      </c>
      <c r="B110" s="25" t="s">
        <v>2214</v>
      </c>
      <c r="C110" s="25" t="s">
        <v>156</v>
      </c>
      <c r="D110" s="53" t="s">
        <v>169</v>
      </c>
      <c r="E110" s="53" t="s">
        <v>2233</v>
      </c>
      <c r="F110" s="54">
        <v>188496.48</v>
      </c>
      <c r="G110" s="57">
        <f>SUM(G102:G109)</f>
        <v>188496</v>
      </c>
      <c r="H110" s="72"/>
    </row>
    <row r="111" spans="1:9">
      <c r="A111" s="25" t="s">
        <v>381</v>
      </c>
      <c r="B111" s="25" t="s">
        <v>382</v>
      </c>
      <c r="C111" s="25" t="s">
        <v>156</v>
      </c>
      <c r="D111" s="53" t="s">
        <v>157</v>
      </c>
      <c r="E111" s="53" t="s">
        <v>100</v>
      </c>
      <c r="F111" s="54">
        <v>0</v>
      </c>
      <c r="G111" s="56"/>
      <c r="H111" s="72"/>
    </row>
    <row r="112" spans="1:9">
      <c r="A112" s="25" t="s">
        <v>383</v>
      </c>
      <c r="B112" s="25" t="s">
        <v>384</v>
      </c>
      <c r="C112" s="25" t="s">
        <v>156</v>
      </c>
      <c r="D112" s="25" t="s">
        <v>162</v>
      </c>
      <c r="E112" s="25" t="s">
        <v>100</v>
      </c>
      <c r="F112" s="52">
        <v>20478.52</v>
      </c>
      <c r="G112" s="56">
        <v>20479</v>
      </c>
      <c r="H112" s="72">
        <v>-38869</v>
      </c>
    </row>
    <row r="113" spans="1:8">
      <c r="A113" s="25" t="s">
        <v>385</v>
      </c>
      <c r="B113" s="25" t="s">
        <v>386</v>
      </c>
      <c r="C113" s="25" t="s">
        <v>156</v>
      </c>
      <c r="D113" s="25" t="s">
        <v>162</v>
      </c>
      <c r="E113" s="25" t="s">
        <v>100</v>
      </c>
      <c r="F113" s="52">
        <v>58509.88</v>
      </c>
      <c r="G113" s="56">
        <v>58510</v>
      </c>
      <c r="H113" s="72"/>
    </row>
    <row r="114" spans="1:8">
      <c r="A114" s="25" t="s">
        <v>387</v>
      </c>
      <c r="B114" s="25" t="s">
        <v>2234</v>
      </c>
      <c r="C114" s="25" t="s">
        <v>156</v>
      </c>
      <c r="D114" s="25" t="s">
        <v>162</v>
      </c>
      <c r="E114" s="25" t="s">
        <v>100</v>
      </c>
      <c r="F114" s="52">
        <v>0</v>
      </c>
      <c r="G114" s="56">
        <v>0</v>
      </c>
      <c r="H114" s="72"/>
    </row>
    <row r="115" spans="1:8">
      <c r="A115" s="25" t="s">
        <v>389</v>
      </c>
      <c r="B115" s="25" t="s">
        <v>390</v>
      </c>
      <c r="C115" s="25" t="s">
        <v>156</v>
      </c>
      <c r="D115" s="25" t="s">
        <v>162</v>
      </c>
      <c r="E115" s="25" t="s">
        <v>100</v>
      </c>
      <c r="F115" s="52">
        <v>17940.78</v>
      </c>
      <c r="G115" s="56">
        <v>17941</v>
      </c>
      <c r="H115" s="72"/>
    </row>
    <row r="116" spans="1:8">
      <c r="A116" s="25" t="s">
        <v>391</v>
      </c>
      <c r="B116" s="25" t="s">
        <v>392</v>
      </c>
      <c r="C116" s="25" t="s">
        <v>156</v>
      </c>
      <c r="D116" s="25" t="s">
        <v>162</v>
      </c>
      <c r="E116" s="25" t="s">
        <v>100</v>
      </c>
      <c r="F116" s="52">
        <v>-1659.19</v>
      </c>
      <c r="G116" s="56">
        <v>-1659</v>
      </c>
      <c r="H116" s="72"/>
    </row>
    <row r="117" spans="1:8">
      <c r="A117" s="25" t="s">
        <v>393</v>
      </c>
      <c r="B117" s="25" t="s">
        <v>394</v>
      </c>
      <c r="C117" s="25" t="s">
        <v>156</v>
      </c>
      <c r="D117" s="25" t="s">
        <v>162</v>
      </c>
      <c r="E117" s="25" t="s">
        <v>100</v>
      </c>
      <c r="F117" s="52">
        <v>3979</v>
      </c>
      <c r="G117" s="56">
        <v>3979</v>
      </c>
      <c r="H117" s="72"/>
    </row>
    <row r="118" spans="1:8">
      <c r="A118" s="25" t="s">
        <v>395</v>
      </c>
      <c r="B118" s="25" t="s">
        <v>396</v>
      </c>
      <c r="C118" s="25" t="s">
        <v>156</v>
      </c>
      <c r="D118" s="25" t="s">
        <v>162</v>
      </c>
      <c r="E118" s="25" t="s">
        <v>100</v>
      </c>
      <c r="F118" s="52">
        <v>-9660.76</v>
      </c>
      <c r="G118" s="56">
        <v>-9661</v>
      </c>
      <c r="H118" s="72"/>
    </row>
    <row r="119" spans="1:8">
      <c r="A119" s="25" t="s">
        <v>397</v>
      </c>
      <c r="B119" s="25" t="s">
        <v>398</v>
      </c>
      <c r="C119" s="25" t="s">
        <v>156</v>
      </c>
      <c r="D119" s="25" t="s">
        <v>162</v>
      </c>
      <c r="E119" s="25" t="s">
        <v>100</v>
      </c>
      <c r="F119" s="52">
        <v>27677.13</v>
      </c>
      <c r="G119" s="56">
        <v>27677</v>
      </c>
      <c r="H119" s="72"/>
    </row>
    <row r="120" spans="1:8">
      <c r="A120" s="25" t="s">
        <v>399</v>
      </c>
      <c r="B120" s="25" t="s">
        <v>400</v>
      </c>
      <c r="C120" s="25" t="s">
        <v>156</v>
      </c>
      <c r="D120" s="25" t="s">
        <v>162</v>
      </c>
      <c r="E120" s="25" t="s">
        <v>100</v>
      </c>
      <c r="F120" s="52">
        <v>163742.19</v>
      </c>
      <c r="G120" s="56">
        <v>163742</v>
      </c>
      <c r="H120" s="72">
        <v>-824</v>
      </c>
    </row>
    <row r="121" spans="1:8">
      <c r="A121" s="25" t="s">
        <v>401</v>
      </c>
      <c r="B121" s="25" t="s">
        <v>402</v>
      </c>
      <c r="C121" s="25" t="s">
        <v>156</v>
      </c>
      <c r="D121" s="25" t="s">
        <v>162</v>
      </c>
      <c r="E121" s="25" t="s">
        <v>100</v>
      </c>
      <c r="F121" s="52">
        <v>8069</v>
      </c>
      <c r="G121" s="56">
        <v>8069</v>
      </c>
      <c r="H121" s="72"/>
    </row>
    <row r="122" spans="1:8">
      <c r="A122" s="25" t="s">
        <v>403</v>
      </c>
      <c r="B122" s="25" t="s">
        <v>2023</v>
      </c>
      <c r="C122" s="25" t="s">
        <v>156</v>
      </c>
      <c r="D122" s="25" t="s">
        <v>162</v>
      </c>
      <c r="E122" s="25" t="s">
        <v>100</v>
      </c>
      <c r="F122" s="52">
        <v>2314.8000000000002</v>
      </c>
      <c r="G122" s="56">
        <v>2315</v>
      </c>
      <c r="H122" s="72"/>
    </row>
    <row r="123" spans="1:8">
      <c r="A123" s="25" t="s">
        <v>405</v>
      </c>
      <c r="B123" s="25" t="s">
        <v>2215</v>
      </c>
      <c r="C123" s="25" t="s">
        <v>156</v>
      </c>
      <c r="D123" s="25" t="s">
        <v>162</v>
      </c>
      <c r="E123" s="25" t="s">
        <v>100</v>
      </c>
      <c r="F123" s="52">
        <v>0</v>
      </c>
      <c r="G123" s="56">
        <v>0</v>
      </c>
      <c r="H123" s="72"/>
    </row>
    <row r="124" spans="1:8">
      <c r="A124" s="25" t="s">
        <v>407</v>
      </c>
      <c r="B124" s="25" t="s">
        <v>2216</v>
      </c>
      <c r="C124" s="25" t="s">
        <v>156</v>
      </c>
      <c r="D124" s="25" t="s">
        <v>162</v>
      </c>
      <c r="E124" s="25" t="s">
        <v>100</v>
      </c>
      <c r="F124" s="52">
        <v>0</v>
      </c>
      <c r="G124" s="56">
        <v>0</v>
      </c>
      <c r="H124" s="72"/>
    </row>
    <row r="125" spans="1:8">
      <c r="A125" s="25" t="s">
        <v>408</v>
      </c>
      <c r="B125" s="25" t="s">
        <v>409</v>
      </c>
      <c r="C125" s="25" t="s">
        <v>156</v>
      </c>
      <c r="D125" s="53" t="s">
        <v>169</v>
      </c>
      <c r="E125" s="53" t="s">
        <v>410</v>
      </c>
      <c r="F125" s="54">
        <v>291391.34999999998</v>
      </c>
      <c r="G125" s="57">
        <f>SUM(G112:G124)</f>
        <v>291392</v>
      </c>
      <c r="H125" s="72"/>
    </row>
    <row r="126" spans="1:8">
      <c r="A126" s="25" t="s">
        <v>411</v>
      </c>
      <c r="B126" s="25" t="s">
        <v>412</v>
      </c>
      <c r="C126" s="25" t="s">
        <v>156</v>
      </c>
      <c r="D126" s="53" t="s">
        <v>157</v>
      </c>
      <c r="E126" s="53" t="s">
        <v>100</v>
      </c>
      <c r="F126" s="54">
        <v>0</v>
      </c>
      <c r="G126" s="56"/>
      <c r="H126" s="72"/>
    </row>
    <row r="127" spans="1:8">
      <c r="A127" s="25" t="s">
        <v>413</v>
      </c>
      <c r="B127" s="25" t="s">
        <v>414</v>
      </c>
      <c r="C127" s="25" t="s">
        <v>156</v>
      </c>
      <c r="D127" s="25" t="s">
        <v>162</v>
      </c>
      <c r="E127" s="25" t="s">
        <v>100</v>
      </c>
      <c r="F127" s="52">
        <v>0</v>
      </c>
      <c r="G127" s="56">
        <v>0</v>
      </c>
      <c r="H127" s="76"/>
    </row>
    <row r="128" spans="1:8">
      <c r="A128" s="25" t="s">
        <v>415</v>
      </c>
      <c r="B128" s="25" t="s">
        <v>416</v>
      </c>
      <c r="C128" s="25" t="s">
        <v>156</v>
      </c>
      <c r="D128" s="53" t="s">
        <v>169</v>
      </c>
      <c r="E128" s="53" t="s">
        <v>417</v>
      </c>
      <c r="F128" s="54">
        <v>0</v>
      </c>
      <c r="G128" s="57">
        <f>SUM(G127)</f>
        <v>0</v>
      </c>
      <c r="H128" s="72"/>
    </row>
    <row r="129" spans="1:8">
      <c r="A129" s="25" t="s">
        <v>418</v>
      </c>
      <c r="B129" s="25" t="s">
        <v>419</v>
      </c>
      <c r="C129" s="25" t="s">
        <v>156</v>
      </c>
      <c r="D129" s="53" t="s">
        <v>157</v>
      </c>
      <c r="E129" s="53" t="s">
        <v>100</v>
      </c>
      <c r="F129" s="54">
        <v>0</v>
      </c>
      <c r="G129" s="56"/>
      <c r="H129" s="72"/>
    </row>
    <row r="130" spans="1:8">
      <c r="A130" s="25" t="s">
        <v>420</v>
      </c>
      <c r="B130" s="25" t="s">
        <v>56</v>
      </c>
      <c r="C130" s="25" t="s">
        <v>156</v>
      </c>
      <c r="D130" s="25" t="s">
        <v>162</v>
      </c>
      <c r="E130" s="25" t="s">
        <v>100</v>
      </c>
      <c r="F130" s="52">
        <v>0</v>
      </c>
      <c r="G130" s="56">
        <v>0</v>
      </c>
      <c r="H130" s="76">
        <v>10000</v>
      </c>
    </row>
    <row r="131" spans="1:8">
      <c r="A131" s="25" t="s">
        <v>421</v>
      </c>
      <c r="B131" s="25" t="s">
        <v>422</v>
      </c>
      <c r="C131" s="25" t="s">
        <v>156</v>
      </c>
      <c r="D131" s="53" t="s">
        <v>169</v>
      </c>
      <c r="E131" s="53" t="s">
        <v>423</v>
      </c>
      <c r="F131" s="54">
        <v>0</v>
      </c>
      <c r="G131" s="57">
        <f>SUM(G130)</f>
        <v>0</v>
      </c>
      <c r="H131" s="72"/>
    </row>
    <row r="132" spans="1:8">
      <c r="A132" s="25" t="s">
        <v>2158</v>
      </c>
      <c r="B132" s="25" t="s">
        <v>425</v>
      </c>
      <c r="C132" s="25" t="s">
        <v>156</v>
      </c>
      <c r="D132" s="53" t="s">
        <v>169</v>
      </c>
      <c r="E132" s="53" t="s">
        <v>2159</v>
      </c>
      <c r="F132" s="54">
        <v>522431.08</v>
      </c>
      <c r="G132" s="57">
        <f>+G131+G128+G125+G110+G100+G96</f>
        <v>522431</v>
      </c>
      <c r="H132" s="72"/>
    </row>
    <row r="133" spans="1:8">
      <c r="A133" s="25" t="s">
        <v>427</v>
      </c>
      <c r="B133" s="25" t="s">
        <v>428</v>
      </c>
      <c r="C133" s="25" t="s">
        <v>156</v>
      </c>
      <c r="D133" s="53" t="s">
        <v>157</v>
      </c>
      <c r="E133" s="53" t="s">
        <v>100</v>
      </c>
      <c r="F133" s="54">
        <v>0</v>
      </c>
      <c r="G133" s="56"/>
      <c r="H133" s="72"/>
    </row>
    <row r="134" spans="1:8">
      <c r="A134" s="25" t="s">
        <v>430</v>
      </c>
      <c r="B134" s="25" t="s">
        <v>431</v>
      </c>
      <c r="C134" s="25" t="s">
        <v>156</v>
      </c>
      <c r="D134" s="25" t="s">
        <v>162</v>
      </c>
      <c r="E134" s="25" t="s">
        <v>100</v>
      </c>
      <c r="F134" s="52">
        <v>0</v>
      </c>
      <c r="G134" s="56"/>
      <c r="H134" s="72"/>
    </row>
    <row r="135" spans="1:8">
      <c r="A135" s="25" t="s">
        <v>439</v>
      </c>
      <c r="B135" s="25" t="s">
        <v>440</v>
      </c>
      <c r="C135" s="25" t="s">
        <v>156</v>
      </c>
      <c r="D135" s="25" t="s">
        <v>162</v>
      </c>
      <c r="E135" s="25" t="s">
        <v>100</v>
      </c>
      <c r="F135" s="52">
        <v>-68095.55</v>
      </c>
      <c r="G135" s="56">
        <v>-68095</v>
      </c>
      <c r="H135" s="72"/>
    </row>
    <row r="136" spans="1:8">
      <c r="A136" s="25" t="s">
        <v>441</v>
      </c>
      <c r="B136" s="25" t="s">
        <v>2160</v>
      </c>
      <c r="C136" s="25" t="s">
        <v>156</v>
      </c>
      <c r="D136" s="25" t="s">
        <v>162</v>
      </c>
      <c r="E136" s="25" t="s">
        <v>100</v>
      </c>
      <c r="F136" s="52">
        <v>0</v>
      </c>
      <c r="G136" s="56">
        <v>0</v>
      </c>
      <c r="H136" s="72"/>
    </row>
    <row r="137" spans="1:8">
      <c r="A137" s="25" t="s">
        <v>443</v>
      </c>
      <c r="B137" s="25" t="s">
        <v>216</v>
      </c>
      <c r="C137" s="25" t="s">
        <v>156</v>
      </c>
      <c r="D137" s="25" t="s">
        <v>162</v>
      </c>
      <c r="E137" s="25" t="s">
        <v>100</v>
      </c>
      <c r="F137" s="52">
        <v>19400</v>
      </c>
      <c r="G137" s="56">
        <v>19400</v>
      </c>
      <c r="H137" s="72">
        <v>87600</v>
      </c>
    </row>
    <row r="138" spans="1:8">
      <c r="A138" s="25" t="s">
        <v>445</v>
      </c>
      <c r="B138" s="25" t="s">
        <v>446</v>
      </c>
      <c r="C138" s="25" t="s">
        <v>156</v>
      </c>
      <c r="D138" s="25" t="s">
        <v>162</v>
      </c>
      <c r="E138" s="25" t="s">
        <v>100</v>
      </c>
      <c r="F138" s="52">
        <v>6762.49</v>
      </c>
      <c r="G138" s="56">
        <v>6762</v>
      </c>
      <c r="H138" s="72"/>
    </row>
    <row r="139" spans="1:8">
      <c r="A139" s="25" t="s">
        <v>447</v>
      </c>
      <c r="B139" s="25" t="s">
        <v>448</v>
      </c>
      <c r="C139" s="25" t="s">
        <v>156</v>
      </c>
      <c r="D139" s="25" t="s">
        <v>162</v>
      </c>
      <c r="E139" s="25" t="s">
        <v>100</v>
      </c>
      <c r="F139" s="52">
        <v>1171788.29</v>
      </c>
      <c r="G139" s="56">
        <v>1171788</v>
      </c>
      <c r="H139" s="72"/>
    </row>
    <row r="140" spans="1:8">
      <c r="A140" s="25" t="s">
        <v>449</v>
      </c>
      <c r="B140" s="25" t="s">
        <v>231</v>
      </c>
      <c r="C140" s="25" t="s">
        <v>156</v>
      </c>
      <c r="D140" s="25" t="s">
        <v>162</v>
      </c>
      <c r="E140" s="25" t="s">
        <v>100</v>
      </c>
      <c r="F140" s="52">
        <v>0</v>
      </c>
      <c r="G140" s="56">
        <v>0</v>
      </c>
      <c r="H140" s="72"/>
    </row>
    <row r="141" spans="1:8">
      <c r="A141" s="25" t="s">
        <v>451</v>
      </c>
      <c r="B141" s="25" t="s">
        <v>2161</v>
      </c>
      <c r="C141" s="25" t="s">
        <v>156</v>
      </c>
      <c r="D141" s="25" t="s">
        <v>162</v>
      </c>
      <c r="E141" s="25" t="s">
        <v>100</v>
      </c>
      <c r="F141" s="52">
        <v>306754.2</v>
      </c>
      <c r="G141" s="56">
        <v>306754</v>
      </c>
      <c r="H141" s="72"/>
    </row>
    <row r="142" spans="1:8">
      <c r="A142" s="25" t="s">
        <v>453</v>
      </c>
      <c r="B142" s="25" t="s">
        <v>2235</v>
      </c>
      <c r="C142" s="25" t="s">
        <v>156</v>
      </c>
      <c r="D142" s="25" t="s">
        <v>162</v>
      </c>
      <c r="E142" s="25" t="s">
        <v>100</v>
      </c>
      <c r="F142" s="52">
        <v>0</v>
      </c>
      <c r="G142" s="56">
        <v>0</v>
      </c>
      <c r="H142" s="72"/>
    </row>
    <row r="143" spans="1:8">
      <c r="A143" s="25" t="s">
        <v>455</v>
      </c>
      <c r="B143" s="25" t="s">
        <v>456</v>
      </c>
      <c r="C143" s="25" t="s">
        <v>156</v>
      </c>
      <c r="D143" s="25" t="s">
        <v>162</v>
      </c>
      <c r="E143" s="25" t="s">
        <v>100</v>
      </c>
      <c r="F143" s="52">
        <v>1363.58</v>
      </c>
      <c r="G143" s="56">
        <v>1364</v>
      </c>
      <c r="H143" s="72"/>
    </row>
    <row r="144" spans="1:8">
      <c r="A144" s="25" t="s">
        <v>457</v>
      </c>
      <c r="B144" s="25" t="s">
        <v>458</v>
      </c>
      <c r="C144" s="25" t="s">
        <v>156</v>
      </c>
      <c r="D144" s="25" t="s">
        <v>162</v>
      </c>
      <c r="E144" s="25" t="s">
        <v>100</v>
      </c>
      <c r="F144" s="52">
        <v>66954.27</v>
      </c>
      <c r="G144" s="56">
        <v>66954</v>
      </c>
      <c r="H144" s="72"/>
    </row>
    <row r="145" spans="1:15">
      <c r="A145" s="25" t="s">
        <v>459</v>
      </c>
      <c r="B145" s="25" t="s">
        <v>460</v>
      </c>
      <c r="C145" s="25" t="s">
        <v>156</v>
      </c>
      <c r="D145" s="25" t="s">
        <v>162</v>
      </c>
      <c r="E145" s="25" t="s">
        <v>100</v>
      </c>
      <c r="F145" s="52">
        <v>23351.84</v>
      </c>
      <c r="G145" s="56">
        <v>23352</v>
      </c>
      <c r="H145" s="72"/>
    </row>
    <row r="146" spans="1:15">
      <c r="A146" s="25" t="s">
        <v>461</v>
      </c>
      <c r="B146" s="25" t="s">
        <v>462</v>
      </c>
      <c r="C146" s="25" t="s">
        <v>156</v>
      </c>
      <c r="D146" s="53" t="s">
        <v>169</v>
      </c>
      <c r="E146" s="53" t="s">
        <v>463</v>
      </c>
      <c r="F146" s="54">
        <v>1528279.12</v>
      </c>
      <c r="G146" s="57">
        <f>SUM(G135:G145)</f>
        <v>1528279</v>
      </c>
      <c r="H146" s="72"/>
      <c r="J146" s="24" t="s">
        <v>432</v>
      </c>
      <c r="K146" s="24" t="s">
        <v>148</v>
      </c>
      <c r="L146" s="24" t="s">
        <v>433</v>
      </c>
      <c r="M146" s="24" t="s">
        <v>475</v>
      </c>
      <c r="N146" s="24" t="s">
        <v>476</v>
      </c>
      <c r="O146" s="24" t="s">
        <v>477</v>
      </c>
    </row>
    <row r="147" spans="1:15">
      <c r="A147" s="25" t="s">
        <v>464</v>
      </c>
      <c r="B147" s="25" t="s">
        <v>2236</v>
      </c>
      <c r="C147" s="25" t="s">
        <v>156</v>
      </c>
      <c r="D147" s="53" t="s">
        <v>157</v>
      </c>
      <c r="E147" s="53" t="s">
        <v>100</v>
      </c>
      <c r="F147" s="54">
        <v>0</v>
      </c>
      <c r="G147" s="56"/>
      <c r="H147" s="72"/>
      <c r="J147" s="25" t="s">
        <v>464</v>
      </c>
      <c r="K147" s="25" t="s">
        <v>2236</v>
      </c>
      <c r="L147" s="26">
        <v>0</v>
      </c>
      <c r="M147" s="26">
        <v>0</v>
      </c>
      <c r="N147" s="26">
        <v>0</v>
      </c>
      <c r="O147" s="26">
        <v>0</v>
      </c>
    </row>
    <row r="148" spans="1:15">
      <c r="A148" s="25" t="s">
        <v>466</v>
      </c>
      <c r="B148" s="25" t="s">
        <v>2237</v>
      </c>
      <c r="C148" s="25" t="s">
        <v>156</v>
      </c>
      <c r="D148" s="53" t="s">
        <v>157</v>
      </c>
      <c r="E148" s="53" t="s">
        <v>100</v>
      </c>
      <c r="F148" s="54">
        <v>0</v>
      </c>
      <c r="G148" s="56"/>
      <c r="H148" s="72"/>
      <c r="J148" s="25" t="s">
        <v>466</v>
      </c>
      <c r="K148" s="25" t="s">
        <v>2237</v>
      </c>
      <c r="L148" s="26">
        <v>0</v>
      </c>
      <c r="M148" s="26">
        <v>0</v>
      </c>
      <c r="N148" s="26">
        <v>0</v>
      </c>
      <c r="O148" s="26">
        <v>0</v>
      </c>
    </row>
    <row r="149" spans="1:15">
      <c r="A149" s="25" t="s">
        <v>2238</v>
      </c>
      <c r="B149" s="25" t="s">
        <v>600</v>
      </c>
      <c r="C149" s="25" t="s">
        <v>156</v>
      </c>
      <c r="D149" s="53" t="s">
        <v>157</v>
      </c>
      <c r="E149" s="53" t="s">
        <v>100</v>
      </c>
      <c r="F149" s="54">
        <v>0</v>
      </c>
      <c r="G149" s="56"/>
      <c r="H149" s="72"/>
      <c r="J149" s="25" t="s">
        <v>2238</v>
      </c>
      <c r="K149" s="25" t="s">
        <v>600</v>
      </c>
      <c r="L149" s="26">
        <v>0</v>
      </c>
      <c r="M149" s="26">
        <v>0</v>
      </c>
      <c r="N149" s="26">
        <v>0</v>
      </c>
      <c r="O149" s="26">
        <v>0</v>
      </c>
    </row>
    <row r="150" spans="1:15">
      <c r="A150" s="25" t="s">
        <v>2239</v>
      </c>
      <c r="B150" s="25" t="s">
        <v>602</v>
      </c>
      <c r="C150" s="25" t="s">
        <v>156</v>
      </c>
      <c r="D150" s="25" t="s">
        <v>162</v>
      </c>
      <c r="E150" s="25" t="s">
        <v>100</v>
      </c>
      <c r="F150" s="52">
        <v>0</v>
      </c>
      <c r="G150" s="56">
        <v>0</v>
      </c>
      <c r="H150" s="72"/>
      <c r="J150" s="25" t="s">
        <v>2239</v>
      </c>
      <c r="K150" s="25" t="s">
        <v>602</v>
      </c>
      <c r="L150" s="26">
        <v>0</v>
      </c>
      <c r="M150" s="26">
        <v>0</v>
      </c>
      <c r="N150" s="26">
        <v>0</v>
      </c>
      <c r="O150" s="26">
        <v>0</v>
      </c>
    </row>
    <row r="151" spans="1:15">
      <c r="A151" s="25" t="s">
        <v>2240</v>
      </c>
      <c r="B151" s="25" t="s">
        <v>604</v>
      </c>
      <c r="C151" s="25" t="s">
        <v>156</v>
      </c>
      <c r="D151" s="25" t="s">
        <v>162</v>
      </c>
      <c r="E151" s="25" t="s">
        <v>100</v>
      </c>
      <c r="F151" s="52">
        <v>30860.12</v>
      </c>
      <c r="G151" s="56">
        <v>30860</v>
      </c>
      <c r="H151" s="72"/>
      <c r="J151" s="25" t="s">
        <v>2240</v>
      </c>
      <c r="K151" s="25" t="s">
        <v>604</v>
      </c>
      <c r="L151" s="26">
        <v>30860.12</v>
      </c>
      <c r="M151" s="26">
        <v>0</v>
      </c>
      <c r="N151" s="26">
        <v>30860.12</v>
      </c>
      <c r="O151" s="26">
        <v>0</v>
      </c>
    </row>
    <row r="152" spans="1:15">
      <c r="A152" s="25" t="s">
        <v>2241</v>
      </c>
      <c r="B152" s="25" t="s">
        <v>606</v>
      </c>
      <c r="C152" s="25" t="s">
        <v>156</v>
      </c>
      <c r="D152" s="25" t="s">
        <v>162</v>
      </c>
      <c r="E152" s="25" t="s">
        <v>100</v>
      </c>
      <c r="F152" s="52">
        <v>837.26</v>
      </c>
      <c r="G152" s="56">
        <v>837</v>
      </c>
      <c r="H152" s="72"/>
      <c r="J152" s="25" t="s">
        <v>2241</v>
      </c>
      <c r="K152" s="25" t="s">
        <v>606</v>
      </c>
      <c r="L152" s="26">
        <v>837.26</v>
      </c>
      <c r="M152" s="26">
        <v>0</v>
      </c>
      <c r="N152" s="26">
        <v>837.26</v>
      </c>
      <c r="O152" s="26">
        <v>0</v>
      </c>
    </row>
    <row r="153" spans="1:15">
      <c r="A153" s="25" t="s">
        <v>2242</v>
      </c>
      <c r="B153" s="25" t="s">
        <v>608</v>
      </c>
      <c r="C153" s="25" t="s">
        <v>156</v>
      </c>
      <c r="D153" s="25" t="s">
        <v>162</v>
      </c>
      <c r="E153" s="25" t="s">
        <v>100</v>
      </c>
      <c r="F153" s="52">
        <v>23111.68</v>
      </c>
      <c r="G153" s="56">
        <v>23112</v>
      </c>
      <c r="H153" s="72"/>
      <c r="J153" s="25" t="s">
        <v>2242</v>
      </c>
      <c r="K153" s="25" t="s">
        <v>608</v>
      </c>
      <c r="L153" s="26">
        <v>23111.68</v>
      </c>
      <c r="M153" s="26">
        <v>0</v>
      </c>
      <c r="N153" s="26">
        <v>23111.68</v>
      </c>
      <c r="O153" s="26">
        <v>0</v>
      </c>
    </row>
    <row r="154" spans="1:15">
      <c r="A154" s="25" t="s">
        <v>2243</v>
      </c>
      <c r="B154" s="25" t="s">
        <v>610</v>
      </c>
      <c r="C154" s="25" t="s">
        <v>156</v>
      </c>
      <c r="D154" s="25" t="s">
        <v>162</v>
      </c>
      <c r="E154" s="25" t="s">
        <v>100</v>
      </c>
      <c r="F154" s="52">
        <v>8444.25</v>
      </c>
      <c r="G154" s="56">
        <v>8444</v>
      </c>
      <c r="H154" s="72"/>
      <c r="J154" s="25" t="s">
        <v>2243</v>
      </c>
      <c r="K154" s="25" t="s">
        <v>610</v>
      </c>
      <c r="L154" s="26">
        <v>8444.25</v>
      </c>
      <c r="M154" s="26">
        <v>0</v>
      </c>
      <c r="N154" s="26">
        <v>8444.25</v>
      </c>
      <c r="O154" s="26">
        <v>0</v>
      </c>
    </row>
    <row r="155" spans="1:15">
      <c r="A155" s="25" t="s">
        <v>2244</v>
      </c>
      <c r="B155" s="25" t="s">
        <v>612</v>
      </c>
      <c r="C155" s="25" t="s">
        <v>156</v>
      </c>
      <c r="D155" s="25" t="s">
        <v>162</v>
      </c>
      <c r="E155" s="25" t="s">
        <v>100</v>
      </c>
      <c r="F155" s="52">
        <v>0</v>
      </c>
      <c r="G155" s="56">
        <v>0</v>
      </c>
      <c r="H155" s="72"/>
      <c r="J155" s="25" t="s">
        <v>2244</v>
      </c>
      <c r="K155" s="25" t="s">
        <v>612</v>
      </c>
      <c r="L155" s="26">
        <v>0</v>
      </c>
      <c r="M155" s="26">
        <v>0</v>
      </c>
      <c r="N155" s="26">
        <v>0</v>
      </c>
      <c r="O155" s="26">
        <v>0</v>
      </c>
    </row>
    <row r="156" spans="1:15">
      <c r="A156" s="25" t="s">
        <v>2245</v>
      </c>
      <c r="B156" s="25" t="s">
        <v>614</v>
      </c>
      <c r="C156" s="25" t="s">
        <v>156</v>
      </c>
      <c r="D156" s="25" t="s">
        <v>162</v>
      </c>
      <c r="E156" s="25" t="s">
        <v>100</v>
      </c>
      <c r="F156" s="52">
        <v>0</v>
      </c>
      <c r="G156" s="56">
        <v>0</v>
      </c>
      <c r="H156" s="72"/>
      <c r="J156" s="25" t="s">
        <v>2245</v>
      </c>
      <c r="K156" s="25" t="s">
        <v>614</v>
      </c>
      <c r="L156" s="26">
        <v>0</v>
      </c>
      <c r="M156" s="26">
        <v>0</v>
      </c>
      <c r="N156" s="26">
        <v>0</v>
      </c>
      <c r="O156" s="26">
        <v>0</v>
      </c>
    </row>
    <row r="157" spans="1:15">
      <c r="A157" s="25" t="s">
        <v>2246</v>
      </c>
      <c r="B157" s="25" t="s">
        <v>616</v>
      </c>
      <c r="C157" s="25" t="s">
        <v>156</v>
      </c>
      <c r="D157" s="25" t="s">
        <v>162</v>
      </c>
      <c r="E157" s="25" t="s">
        <v>100</v>
      </c>
      <c r="F157" s="52">
        <v>0</v>
      </c>
      <c r="G157" s="56">
        <v>0</v>
      </c>
      <c r="H157" s="72"/>
      <c r="J157" s="25" t="s">
        <v>2246</v>
      </c>
      <c r="K157" s="25" t="s">
        <v>616</v>
      </c>
      <c r="L157" s="26">
        <v>0</v>
      </c>
      <c r="M157" s="26">
        <v>0</v>
      </c>
      <c r="N157" s="26">
        <v>0</v>
      </c>
      <c r="O157" s="26">
        <v>0</v>
      </c>
    </row>
    <row r="158" spans="1:15">
      <c r="A158" s="25" t="s">
        <v>2247</v>
      </c>
      <c r="B158" s="25" t="s">
        <v>618</v>
      </c>
      <c r="C158" s="25" t="s">
        <v>156</v>
      </c>
      <c r="D158" s="53" t="s">
        <v>169</v>
      </c>
      <c r="E158" s="53" t="s">
        <v>2248</v>
      </c>
      <c r="F158" s="54">
        <v>63253.31</v>
      </c>
      <c r="G158" s="57">
        <f>SUM(G150:G157)</f>
        <v>63253</v>
      </c>
      <c r="H158" s="72"/>
      <c r="J158" s="53" t="s">
        <v>2247</v>
      </c>
      <c r="K158" s="53" t="s">
        <v>618</v>
      </c>
      <c r="L158" s="55">
        <v>63253.31</v>
      </c>
      <c r="M158" s="55">
        <v>0</v>
      </c>
      <c r="N158" s="71">
        <v>63253.31</v>
      </c>
      <c r="O158" s="55">
        <v>0</v>
      </c>
    </row>
    <row r="159" spans="1:15">
      <c r="A159" s="25" t="s">
        <v>468</v>
      </c>
      <c r="B159" s="25" t="s">
        <v>469</v>
      </c>
      <c r="C159" s="25" t="s">
        <v>156</v>
      </c>
      <c r="D159" s="53" t="s">
        <v>157</v>
      </c>
      <c r="E159" s="53" t="s">
        <v>100</v>
      </c>
      <c r="F159" s="54">
        <v>0</v>
      </c>
      <c r="G159" s="57"/>
      <c r="H159" s="72"/>
      <c r="J159" s="25" t="s">
        <v>468</v>
      </c>
      <c r="K159" s="25" t="s">
        <v>469</v>
      </c>
      <c r="L159" s="26">
        <v>0</v>
      </c>
      <c r="M159" s="26">
        <v>0</v>
      </c>
      <c r="N159" s="26">
        <v>0</v>
      </c>
      <c r="O159" s="26">
        <v>0</v>
      </c>
    </row>
    <row r="160" spans="1:15">
      <c r="A160" s="25" t="s">
        <v>470</v>
      </c>
      <c r="B160" s="25" t="s">
        <v>155</v>
      </c>
      <c r="C160" s="25" t="s">
        <v>156</v>
      </c>
      <c r="D160" s="53" t="s">
        <v>157</v>
      </c>
      <c r="E160" s="53" t="s">
        <v>100</v>
      </c>
      <c r="F160" s="54">
        <v>0</v>
      </c>
      <c r="G160" s="57"/>
      <c r="H160" s="72"/>
      <c r="J160" s="25" t="s">
        <v>470</v>
      </c>
      <c r="K160" s="25" t="s">
        <v>155</v>
      </c>
      <c r="L160" s="26">
        <v>0</v>
      </c>
      <c r="M160" s="26">
        <v>0</v>
      </c>
      <c r="N160" s="26">
        <v>0</v>
      </c>
      <c r="O160" s="26">
        <v>0</v>
      </c>
    </row>
    <row r="161" spans="1:15">
      <c r="A161" s="25" t="s">
        <v>471</v>
      </c>
      <c r="B161" s="25" t="s">
        <v>472</v>
      </c>
      <c r="C161" s="25" t="s">
        <v>156</v>
      </c>
      <c r="D161" s="25" t="s">
        <v>162</v>
      </c>
      <c r="E161" s="25" t="s">
        <v>100</v>
      </c>
      <c r="F161" s="52">
        <v>-3346208.87</v>
      </c>
      <c r="G161" s="56"/>
      <c r="H161" s="72"/>
      <c r="J161" s="25" t="s">
        <v>471</v>
      </c>
      <c r="K161" s="25" t="s">
        <v>472</v>
      </c>
      <c r="L161" s="26">
        <v>-3346208.87</v>
      </c>
      <c r="M161" s="26">
        <v>-1073360.3700000001</v>
      </c>
      <c r="N161" s="26">
        <v>-2228147.5</v>
      </c>
      <c r="O161" s="26">
        <v>-44701</v>
      </c>
    </row>
    <row r="162" spans="1:15">
      <c r="A162" s="25" t="s">
        <v>473</v>
      </c>
      <c r="B162" s="25" t="s">
        <v>474</v>
      </c>
      <c r="C162" s="25" t="s">
        <v>156</v>
      </c>
      <c r="D162" s="25" t="s">
        <v>162</v>
      </c>
      <c r="E162" s="25" t="s">
        <v>100</v>
      </c>
      <c r="F162" s="52">
        <v>-1851081.8</v>
      </c>
      <c r="G162" s="56"/>
      <c r="H162" s="72"/>
      <c r="J162" s="25" t="s">
        <v>473</v>
      </c>
      <c r="K162" s="25" t="s">
        <v>474</v>
      </c>
      <c r="L162" s="26">
        <v>-1851081.8</v>
      </c>
      <c r="M162" s="26">
        <v>-98568</v>
      </c>
      <c r="N162" s="26">
        <v>-1643557.8</v>
      </c>
      <c r="O162" s="26">
        <v>-108956</v>
      </c>
    </row>
    <row r="163" spans="1:15">
      <c r="A163" s="25" t="s">
        <v>478</v>
      </c>
      <c r="B163" s="25" t="s">
        <v>479</v>
      </c>
      <c r="C163" s="25" t="s">
        <v>156</v>
      </c>
      <c r="D163" s="25" t="s">
        <v>162</v>
      </c>
      <c r="E163" s="25" t="s">
        <v>100</v>
      </c>
      <c r="F163" s="52">
        <v>130667.34</v>
      </c>
      <c r="G163" s="56"/>
      <c r="H163" s="72"/>
      <c r="J163" s="25" t="s">
        <v>478</v>
      </c>
      <c r="K163" s="25" t="s">
        <v>479</v>
      </c>
      <c r="L163" s="26">
        <v>130667.34</v>
      </c>
      <c r="M163" s="26">
        <v>39032.51</v>
      </c>
      <c r="N163" s="26">
        <v>91634.83</v>
      </c>
      <c r="O163" s="26">
        <v>0</v>
      </c>
    </row>
    <row r="164" spans="1:15">
      <c r="A164" s="25" t="s">
        <v>480</v>
      </c>
      <c r="B164" s="25" t="s">
        <v>481</v>
      </c>
      <c r="C164" s="25" t="s">
        <v>156</v>
      </c>
      <c r="D164" s="25" t="s">
        <v>162</v>
      </c>
      <c r="E164" s="25" t="s">
        <v>100</v>
      </c>
      <c r="F164" s="52">
        <v>-517393.71</v>
      </c>
      <c r="G164" s="56"/>
      <c r="H164" s="72"/>
      <c r="J164" s="25" t="s">
        <v>480</v>
      </c>
      <c r="K164" s="25" t="s">
        <v>481</v>
      </c>
      <c r="L164" s="26">
        <v>-517393.71</v>
      </c>
      <c r="M164" s="26">
        <v>-24840</v>
      </c>
      <c r="N164" s="26">
        <v>-461511.71</v>
      </c>
      <c r="O164" s="26">
        <v>-31042</v>
      </c>
    </row>
    <row r="165" spans="1:15">
      <c r="A165" s="25" t="s">
        <v>482</v>
      </c>
      <c r="B165" s="25" t="s">
        <v>278</v>
      </c>
      <c r="C165" s="25" t="s">
        <v>156</v>
      </c>
      <c r="D165" s="53" t="s">
        <v>169</v>
      </c>
      <c r="E165" s="53" t="s">
        <v>483</v>
      </c>
      <c r="F165" s="54">
        <v>-5584017.04</v>
      </c>
      <c r="G165" s="56"/>
      <c r="H165" s="72"/>
      <c r="J165" s="53" t="s">
        <v>482</v>
      </c>
      <c r="K165" s="53" t="s">
        <v>278</v>
      </c>
      <c r="L165" s="55">
        <v>-5584017.04</v>
      </c>
      <c r="M165" s="55">
        <v>-1157735.8600000001</v>
      </c>
      <c r="N165" s="55">
        <v>-4241582.18</v>
      </c>
      <c r="O165" s="55">
        <v>-184699</v>
      </c>
    </row>
    <row r="166" spans="1:15">
      <c r="A166" s="25" t="s">
        <v>484</v>
      </c>
      <c r="B166" s="25" t="s">
        <v>485</v>
      </c>
      <c r="C166" s="25" t="s">
        <v>156</v>
      </c>
      <c r="D166" s="53" t="s">
        <v>157</v>
      </c>
      <c r="E166" s="53" t="s">
        <v>100</v>
      </c>
      <c r="F166" s="54">
        <v>0</v>
      </c>
      <c r="G166" s="56"/>
      <c r="H166" s="72"/>
      <c r="J166" s="25" t="s">
        <v>484</v>
      </c>
      <c r="K166" s="25" t="s">
        <v>485</v>
      </c>
      <c r="L166" s="26">
        <v>0</v>
      </c>
      <c r="M166" s="26">
        <v>0</v>
      </c>
      <c r="N166" s="26">
        <v>0</v>
      </c>
      <c r="O166" s="26">
        <v>0</v>
      </c>
    </row>
    <row r="167" spans="1:15">
      <c r="A167" s="25" t="s">
        <v>486</v>
      </c>
      <c r="B167" s="25" t="s">
        <v>487</v>
      </c>
      <c r="C167" s="25" t="s">
        <v>156</v>
      </c>
      <c r="D167" s="25" t="s">
        <v>162</v>
      </c>
      <c r="E167" s="25" t="s">
        <v>100</v>
      </c>
      <c r="F167" s="52">
        <v>277233.55</v>
      </c>
      <c r="G167" s="56"/>
      <c r="H167" s="72"/>
      <c r="J167" s="25" t="s">
        <v>486</v>
      </c>
      <c r="K167" s="25" t="s">
        <v>487</v>
      </c>
      <c r="L167" s="26">
        <v>277233.55</v>
      </c>
      <c r="M167" s="70">
        <v>109485.57</v>
      </c>
      <c r="N167" s="70">
        <v>167747.98000000001</v>
      </c>
      <c r="O167" s="26">
        <v>0</v>
      </c>
    </row>
    <row r="168" spans="1:15">
      <c r="A168" s="25" t="s">
        <v>488</v>
      </c>
      <c r="B168" s="25" t="s">
        <v>489</v>
      </c>
      <c r="C168" s="25" t="s">
        <v>156</v>
      </c>
      <c r="D168" s="25" t="s">
        <v>162</v>
      </c>
      <c r="E168" s="25" t="s">
        <v>100</v>
      </c>
      <c r="F168" s="52">
        <v>207488.19</v>
      </c>
      <c r="G168" s="56"/>
      <c r="H168" s="72"/>
      <c r="J168" s="25" t="s">
        <v>488</v>
      </c>
      <c r="K168" s="25" t="s">
        <v>489</v>
      </c>
      <c r="L168" s="26">
        <v>207488.19</v>
      </c>
      <c r="M168" s="70">
        <v>188839.4</v>
      </c>
      <c r="N168" s="70">
        <v>18648.79</v>
      </c>
      <c r="O168" s="26">
        <v>0</v>
      </c>
    </row>
    <row r="169" spans="1:15">
      <c r="A169" s="25" t="s">
        <v>490</v>
      </c>
      <c r="B169" s="25" t="s">
        <v>2218</v>
      </c>
      <c r="C169" s="25" t="s">
        <v>156</v>
      </c>
      <c r="D169" s="25" t="s">
        <v>162</v>
      </c>
      <c r="E169" s="25" t="s">
        <v>100</v>
      </c>
      <c r="F169" s="52">
        <v>41310.050000000003</v>
      </c>
      <c r="G169" s="56"/>
      <c r="H169" s="72"/>
      <c r="J169" s="25" t="s">
        <v>490</v>
      </c>
      <c r="K169" s="25" t="s">
        <v>2218</v>
      </c>
      <c r="L169" s="26">
        <v>41310.050000000003</v>
      </c>
      <c r="M169" s="70">
        <v>300</v>
      </c>
      <c r="N169" s="70">
        <v>41010.050000000003</v>
      </c>
      <c r="O169" s="26">
        <v>0</v>
      </c>
    </row>
    <row r="170" spans="1:15">
      <c r="A170" s="25" t="s">
        <v>492</v>
      </c>
      <c r="B170" s="25" t="s">
        <v>493</v>
      </c>
      <c r="C170" s="25" t="s">
        <v>156</v>
      </c>
      <c r="D170" s="25" t="s">
        <v>162</v>
      </c>
      <c r="E170" s="25" t="s">
        <v>100</v>
      </c>
      <c r="F170" s="52">
        <v>54351.43</v>
      </c>
      <c r="G170" s="56"/>
      <c r="H170" s="72">
        <v>-1327</v>
      </c>
      <c r="I170" t="s">
        <v>2146</v>
      </c>
      <c r="J170" s="25" t="s">
        <v>492</v>
      </c>
      <c r="K170" s="25" t="s">
        <v>493</v>
      </c>
      <c r="L170" s="26">
        <v>54351.43</v>
      </c>
      <c r="M170" s="70">
        <v>20613.599999999999</v>
      </c>
      <c r="N170" s="70">
        <v>16243.86</v>
      </c>
      <c r="O170" s="70">
        <v>17493.97</v>
      </c>
    </row>
    <row r="171" spans="1:15">
      <c r="A171" s="25" t="s">
        <v>494</v>
      </c>
      <c r="B171" s="25" t="s">
        <v>495</v>
      </c>
      <c r="C171" s="25" t="s">
        <v>156</v>
      </c>
      <c r="D171" s="25" t="s">
        <v>162</v>
      </c>
      <c r="E171" s="25" t="s">
        <v>100</v>
      </c>
      <c r="F171" s="52">
        <v>201347.15</v>
      </c>
      <c r="G171" s="56"/>
      <c r="H171" s="72"/>
      <c r="I171" t="s">
        <v>2146</v>
      </c>
      <c r="J171" s="25" t="s">
        <v>494</v>
      </c>
      <c r="K171" s="25" t="s">
        <v>495</v>
      </c>
      <c r="L171" s="26">
        <v>201347.15</v>
      </c>
      <c r="M171" s="70">
        <v>75428.42</v>
      </c>
      <c r="N171" s="70">
        <v>95191.32</v>
      </c>
      <c r="O171" s="70">
        <v>30727.41</v>
      </c>
    </row>
    <row r="172" spans="1:15">
      <c r="A172" s="25" t="s">
        <v>496</v>
      </c>
      <c r="B172" s="25" t="s">
        <v>497</v>
      </c>
      <c r="C172" s="25" t="s">
        <v>156</v>
      </c>
      <c r="D172" s="25" t="s">
        <v>162</v>
      </c>
      <c r="E172" s="25" t="s">
        <v>100</v>
      </c>
      <c r="F172" s="52">
        <v>1319115.96</v>
      </c>
      <c r="G172" s="56"/>
      <c r="H172" s="72">
        <v>-28857</v>
      </c>
      <c r="I172" t="s">
        <v>2249</v>
      </c>
      <c r="J172" s="25" t="s">
        <v>496</v>
      </c>
      <c r="K172" s="25" t="s">
        <v>497</v>
      </c>
      <c r="L172" s="26">
        <v>1319115.96</v>
      </c>
      <c r="M172" s="70">
        <v>450893.4</v>
      </c>
      <c r="N172" s="70">
        <v>823800.03</v>
      </c>
      <c r="O172" s="70">
        <v>44422.53</v>
      </c>
    </row>
    <row r="173" spans="1:15">
      <c r="A173" s="25" t="s">
        <v>498</v>
      </c>
      <c r="B173" s="25" t="s">
        <v>499</v>
      </c>
      <c r="C173" s="25" t="s">
        <v>156</v>
      </c>
      <c r="D173" s="25" t="s">
        <v>162</v>
      </c>
      <c r="E173" s="25" t="s">
        <v>100</v>
      </c>
      <c r="F173" s="52">
        <v>-12669.82</v>
      </c>
      <c r="G173" s="56"/>
      <c r="H173" s="72"/>
      <c r="J173" s="25" t="s">
        <v>498</v>
      </c>
      <c r="K173" s="25" t="s">
        <v>499</v>
      </c>
      <c r="L173" s="26">
        <v>-12669.82</v>
      </c>
      <c r="M173" s="26">
        <v>0</v>
      </c>
      <c r="N173" s="70">
        <v>-11762.8</v>
      </c>
      <c r="O173" s="26">
        <v>-907.02</v>
      </c>
    </row>
    <row r="174" spans="1:15">
      <c r="A174" s="25" t="s">
        <v>500</v>
      </c>
      <c r="B174" s="25" t="s">
        <v>501</v>
      </c>
      <c r="C174" s="25" t="s">
        <v>156</v>
      </c>
      <c r="D174" s="25" t="s">
        <v>162</v>
      </c>
      <c r="E174" s="25" t="s">
        <v>100</v>
      </c>
      <c r="F174" s="52">
        <v>54145.3</v>
      </c>
      <c r="G174" s="56"/>
      <c r="H174" s="72"/>
      <c r="J174" s="25" t="s">
        <v>500</v>
      </c>
      <c r="K174" s="25" t="s">
        <v>501</v>
      </c>
      <c r="L174" s="26">
        <v>54145.3</v>
      </c>
      <c r="M174" s="26">
        <v>0</v>
      </c>
      <c r="N174" s="70">
        <v>50707.49</v>
      </c>
      <c r="O174" s="26">
        <v>3437.81</v>
      </c>
    </row>
    <row r="175" spans="1:15">
      <c r="A175" s="25" t="s">
        <v>502</v>
      </c>
      <c r="B175" s="25" t="s">
        <v>503</v>
      </c>
      <c r="C175" s="25" t="s">
        <v>156</v>
      </c>
      <c r="D175" s="53" t="s">
        <v>169</v>
      </c>
      <c r="E175" s="53" t="s">
        <v>504</v>
      </c>
      <c r="F175" s="54">
        <v>2142321.81</v>
      </c>
      <c r="G175" s="56"/>
      <c r="H175" s="72"/>
      <c r="J175" s="25" t="s">
        <v>502</v>
      </c>
      <c r="K175" s="25" t="s">
        <v>503</v>
      </c>
      <c r="L175" s="55">
        <v>2142321.81</v>
      </c>
      <c r="M175" s="55">
        <v>845560.39</v>
      </c>
      <c r="N175" s="55">
        <v>1201586.72</v>
      </c>
      <c r="O175" s="55">
        <v>95174.7</v>
      </c>
    </row>
    <row r="176" spans="1:15">
      <c r="A176" s="25" t="s">
        <v>505</v>
      </c>
      <c r="B176" s="25" t="s">
        <v>284</v>
      </c>
      <c r="C176" s="25" t="s">
        <v>156</v>
      </c>
      <c r="D176" s="53" t="s">
        <v>157</v>
      </c>
      <c r="E176" s="53" t="s">
        <v>100</v>
      </c>
      <c r="F176" s="54">
        <v>0</v>
      </c>
      <c r="G176" s="56"/>
      <c r="H176" s="72"/>
      <c r="J176" s="25" t="s">
        <v>505</v>
      </c>
      <c r="K176" s="25" t="s">
        <v>284</v>
      </c>
      <c r="L176" s="26">
        <v>0</v>
      </c>
      <c r="M176" s="26">
        <v>0</v>
      </c>
      <c r="N176" s="26">
        <v>0</v>
      </c>
      <c r="O176" s="26">
        <v>0</v>
      </c>
    </row>
    <row r="177" spans="1:15">
      <c r="A177" s="25" t="s">
        <v>506</v>
      </c>
      <c r="B177" s="25" t="s">
        <v>507</v>
      </c>
      <c r="C177" s="25" t="s">
        <v>156</v>
      </c>
      <c r="D177" s="25" t="s">
        <v>162</v>
      </c>
      <c r="E177" s="25" t="s">
        <v>100</v>
      </c>
      <c r="F177" s="52">
        <v>2172266.79</v>
      </c>
      <c r="G177" s="56"/>
      <c r="H177" s="72"/>
      <c r="J177" s="25" t="s">
        <v>506</v>
      </c>
      <c r="K177" s="25" t="s">
        <v>507</v>
      </c>
      <c r="L177" s="26">
        <v>2172266.79</v>
      </c>
      <c r="M177" s="70">
        <v>580910.44999999995</v>
      </c>
      <c r="N177" s="70">
        <v>1545605.49</v>
      </c>
      <c r="O177" s="26">
        <v>45750.85</v>
      </c>
    </row>
    <row r="178" spans="1:15">
      <c r="A178" s="25" t="s">
        <v>508</v>
      </c>
      <c r="B178" s="25" t="s">
        <v>317</v>
      </c>
      <c r="C178" s="25" t="s">
        <v>156</v>
      </c>
      <c r="D178" s="25" t="s">
        <v>162</v>
      </c>
      <c r="E178" s="25" t="s">
        <v>100</v>
      </c>
      <c r="F178" s="52">
        <v>85417.84</v>
      </c>
      <c r="G178" s="56"/>
      <c r="H178" s="72"/>
      <c r="J178" s="25" t="s">
        <v>508</v>
      </c>
      <c r="K178" s="25" t="s">
        <v>317</v>
      </c>
      <c r="L178" s="26">
        <v>85417.84</v>
      </c>
      <c r="M178" s="70">
        <v>10786.24</v>
      </c>
      <c r="N178" s="70">
        <v>74631.600000000006</v>
      </c>
      <c r="O178" s="26">
        <v>0</v>
      </c>
    </row>
    <row r="179" spans="1:15">
      <c r="A179" s="25" t="s">
        <v>509</v>
      </c>
      <c r="B179" s="25" t="s">
        <v>294</v>
      </c>
      <c r="C179" s="25" t="s">
        <v>156</v>
      </c>
      <c r="D179" s="25" t="s">
        <v>162</v>
      </c>
      <c r="E179" s="25" t="s">
        <v>100</v>
      </c>
      <c r="F179" s="52">
        <v>-220000</v>
      </c>
      <c r="G179" s="56"/>
      <c r="H179" s="72"/>
      <c r="J179" s="25" t="s">
        <v>509</v>
      </c>
      <c r="K179" s="25" t="s">
        <v>294</v>
      </c>
      <c r="L179" s="26">
        <v>-220000</v>
      </c>
      <c r="M179" s="70">
        <v>0</v>
      </c>
      <c r="N179" s="70">
        <v>-220000</v>
      </c>
      <c r="O179" s="26">
        <v>0</v>
      </c>
    </row>
    <row r="180" spans="1:15">
      <c r="A180" s="25" t="s">
        <v>510</v>
      </c>
      <c r="B180" s="25" t="s">
        <v>511</v>
      </c>
      <c r="C180" s="25" t="s">
        <v>156</v>
      </c>
      <c r="D180" s="25" t="s">
        <v>162</v>
      </c>
      <c r="E180" s="25" t="s">
        <v>100</v>
      </c>
      <c r="F180" s="52">
        <v>106787.19</v>
      </c>
      <c r="G180" s="56"/>
      <c r="H180" s="72"/>
      <c r="J180" s="25" t="s">
        <v>510</v>
      </c>
      <c r="K180" s="25" t="s">
        <v>511</v>
      </c>
      <c r="L180" s="26">
        <v>106787.19</v>
      </c>
      <c r="M180" s="70">
        <v>21086.73</v>
      </c>
      <c r="N180" s="70">
        <v>84040.01</v>
      </c>
      <c r="O180" s="26">
        <v>1660.45</v>
      </c>
    </row>
    <row r="181" spans="1:15">
      <c r="A181" s="25" t="s">
        <v>512</v>
      </c>
      <c r="B181" s="25" t="s">
        <v>513</v>
      </c>
      <c r="C181" s="25" t="s">
        <v>156</v>
      </c>
      <c r="D181" s="25" t="s">
        <v>162</v>
      </c>
      <c r="E181" s="25" t="s">
        <v>100</v>
      </c>
      <c r="F181" s="52">
        <v>239345.05</v>
      </c>
      <c r="G181" s="56"/>
      <c r="H181" s="72"/>
      <c r="J181" s="25" t="s">
        <v>512</v>
      </c>
      <c r="K181" s="25" t="s">
        <v>513</v>
      </c>
      <c r="L181" s="26">
        <v>239345.05</v>
      </c>
      <c r="M181" s="70">
        <v>56365.16</v>
      </c>
      <c r="N181" s="70">
        <v>179896.19</v>
      </c>
      <c r="O181" s="26">
        <v>3083.7</v>
      </c>
    </row>
    <row r="182" spans="1:15">
      <c r="A182" s="25" t="s">
        <v>514</v>
      </c>
      <c r="B182" s="25" t="s">
        <v>515</v>
      </c>
      <c r="C182" s="25" t="s">
        <v>156</v>
      </c>
      <c r="D182" s="25" t="s">
        <v>162</v>
      </c>
      <c r="E182" s="25" t="s">
        <v>100</v>
      </c>
      <c r="F182" s="52">
        <v>82633.66</v>
      </c>
      <c r="G182" s="56"/>
      <c r="H182" s="72"/>
      <c r="J182" s="25" t="s">
        <v>514</v>
      </c>
      <c r="K182" s="25" t="s">
        <v>515</v>
      </c>
      <c r="L182" s="26">
        <v>82633.66</v>
      </c>
      <c r="M182" s="70">
        <v>45128.51</v>
      </c>
      <c r="N182" s="70">
        <v>37505.15</v>
      </c>
      <c r="O182" s="26">
        <v>0</v>
      </c>
    </row>
    <row r="183" spans="1:15">
      <c r="A183" s="25" t="s">
        <v>2198</v>
      </c>
      <c r="B183" s="25" t="s">
        <v>300</v>
      </c>
      <c r="C183" s="25" t="s">
        <v>156</v>
      </c>
      <c r="D183" s="25" t="s">
        <v>162</v>
      </c>
      <c r="E183" s="25" t="s">
        <v>100</v>
      </c>
      <c r="F183" s="52">
        <v>39082.550000000003</v>
      </c>
      <c r="G183" s="56"/>
      <c r="H183" s="72"/>
      <c r="J183" s="25" t="s">
        <v>2198</v>
      </c>
      <c r="K183" s="25" t="s">
        <v>300</v>
      </c>
      <c r="L183" s="26">
        <v>39082.550000000003</v>
      </c>
      <c r="M183" s="70">
        <v>0</v>
      </c>
      <c r="N183" s="70">
        <v>33152.379999999997</v>
      </c>
      <c r="O183" s="26">
        <v>5930.17</v>
      </c>
    </row>
    <row r="184" spans="1:15">
      <c r="A184" s="25" t="s">
        <v>516</v>
      </c>
      <c r="B184" s="25" t="s">
        <v>306</v>
      </c>
      <c r="C184" s="25" t="s">
        <v>156</v>
      </c>
      <c r="D184" s="25" t="s">
        <v>162</v>
      </c>
      <c r="E184" s="25" t="s">
        <v>100</v>
      </c>
      <c r="F184" s="52">
        <v>51380.11</v>
      </c>
      <c r="G184" s="56"/>
      <c r="H184" s="72"/>
      <c r="J184" s="25" t="s">
        <v>516</v>
      </c>
      <c r="K184" s="25" t="s">
        <v>306</v>
      </c>
      <c r="L184" s="26">
        <v>51380.11</v>
      </c>
      <c r="M184" s="70">
        <v>24750.81</v>
      </c>
      <c r="N184" s="70">
        <v>26539.3</v>
      </c>
      <c r="O184" s="26">
        <v>90</v>
      </c>
    </row>
    <row r="185" spans="1:15">
      <c r="A185" s="25" t="s">
        <v>518</v>
      </c>
      <c r="B185" s="25" t="s">
        <v>519</v>
      </c>
      <c r="C185" s="25" t="s">
        <v>156</v>
      </c>
      <c r="D185" s="25" t="s">
        <v>162</v>
      </c>
      <c r="E185" s="25" t="s">
        <v>100</v>
      </c>
      <c r="F185" s="52">
        <v>125621.41</v>
      </c>
      <c r="G185" s="56"/>
      <c r="H185" s="72"/>
      <c r="J185" s="25" t="s">
        <v>518</v>
      </c>
      <c r="K185" s="25" t="s">
        <v>519</v>
      </c>
      <c r="L185" s="26">
        <v>125621.41</v>
      </c>
      <c r="M185" s="70">
        <v>11881.36</v>
      </c>
      <c r="N185" s="70">
        <v>113740.05</v>
      </c>
      <c r="O185" s="26">
        <v>0</v>
      </c>
    </row>
    <row r="186" spans="1:15">
      <c r="A186" s="25" t="s">
        <v>520</v>
      </c>
      <c r="B186" s="25" t="s">
        <v>521</v>
      </c>
      <c r="C186" s="25" t="s">
        <v>156</v>
      </c>
      <c r="D186" s="25" t="s">
        <v>162</v>
      </c>
      <c r="E186" s="25" t="s">
        <v>100</v>
      </c>
      <c r="F186" s="52">
        <v>2532.9299999999998</v>
      </c>
      <c r="G186" s="56"/>
      <c r="H186" s="72"/>
      <c r="J186" s="25" t="s">
        <v>520</v>
      </c>
      <c r="K186" s="25" t="s">
        <v>521</v>
      </c>
      <c r="L186" s="26">
        <v>2532.9299999999998</v>
      </c>
      <c r="M186" s="70">
        <v>526.57000000000005</v>
      </c>
      <c r="N186" s="70">
        <v>2006.36</v>
      </c>
      <c r="O186" s="26">
        <v>0</v>
      </c>
    </row>
    <row r="187" spans="1:15">
      <c r="A187" s="25" t="s">
        <v>522</v>
      </c>
      <c r="B187" s="25" t="s">
        <v>216</v>
      </c>
      <c r="C187" s="25" t="s">
        <v>156</v>
      </c>
      <c r="D187" s="25" t="s">
        <v>162</v>
      </c>
      <c r="E187" s="25" t="s">
        <v>100</v>
      </c>
      <c r="F187" s="52">
        <v>11000</v>
      </c>
      <c r="G187" s="56"/>
      <c r="H187" s="72"/>
      <c r="J187" s="25" t="s">
        <v>522</v>
      </c>
      <c r="K187" s="25" t="s">
        <v>216</v>
      </c>
      <c r="L187" s="26">
        <v>11000</v>
      </c>
      <c r="M187" s="70">
        <v>0</v>
      </c>
      <c r="N187" s="70">
        <v>11000</v>
      </c>
      <c r="O187" s="26">
        <v>0</v>
      </c>
    </row>
    <row r="188" spans="1:15">
      <c r="A188" s="25" t="s">
        <v>523</v>
      </c>
      <c r="B188" s="25" t="s">
        <v>524</v>
      </c>
      <c r="C188" s="25" t="s">
        <v>156</v>
      </c>
      <c r="D188" s="25" t="s">
        <v>162</v>
      </c>
      <c r="E188" s="25" t="s">
        <v>100</v>
      </c>
      <c r="F188" s="52">
        <v>-13000.2</v>
      </c>
      <c r="G188" s="56"/>
      <c r="H188" s="72"/>
      <c r="J188" s="25" t="s">
        <v>523</v>
      </c>
      <c r="K188" s="25" t="s">
        <v>524</v>
      </c>
      <c r="L188" s="26">
        <v>-13000.2</v>
      </c>
      <c r="M188" s="70">
        <v>-2600.04</v>
      </c>
      <c r="N188" s="70">
        <v>-10400.16</v>
      </c>
      <c r="O188" s="26">
        <v>0</v>
      </c>
    </row>
    <row r="189" spans="1:15">
      <c r="A189" s="25" t="s">
        <v>525</v>
      </c>
      <c r="B189" s="25" t="s">
        <v>526</v>
      </c>
      <c r="C189" s="25" t="s">
        <v>156</v>
      </c>
      <c r="D189" s="25" t="s">
        <v>162</v>
      </c>
      <c r="E189" s="25" t="s">
        <v>100</v>
      </c>
      <c r="F189" s="52">
        <v>6970.5</v>
      </c>
      <c r="G189" s="56"/>
      <c r="H189" s="72"/>
      <c r="J189" s="25" t="s">
        <v>525</v>
      </c>
      <c r="K189" s="25" t="s">
        <v>526</v>
      </c>
      <c r="L189" s="26">
        <v>6970</v>
      </c>
      <c r="M189" s="70">
        <v>6970</v>
      </c>
      <c r="N189" s="70">
        <v>0</v>
      </c>
      <c r="O189" s="26">
        <v>0</v>
      </c>
    </row>
    <row r="190" spans="1:15">
      <c r="A190" s="25" t="s">
        <v>527</v>
      </c>
      <c r="B190" s="25" t="s">
        <v>341</v>
      </c>
      <c r="C190" s="25" t="s">
        <v>156</v>
      </c>
      <c r="D190" s="53" t="s">
        <v>169</v>
      </c>
      <c r="E190" s="53" t="s">
        <v>528</v>
      </c>
      <c r="F190" s="54">
        <v>2690037.83</v>
      </c>
      <c r="G190" s="56"/>
      <c r="H190" s="72"/>
      <c r="J190" s="25" t="s">
        <v>527</v>
      </c>
      <c r="K190" s="25" t="s">
        <v>341</v>
      </c>
      <c r="L190" s="55">
        <v>2690037.33</v>
      </c>
      <c r="M190" s="55">
        <v>755805.79</v>
      </c>
      <c r="N190" s="55">
        <v>1877716.37</v>
      </c>
      <c r="O190" s="55">
        <v>56515.17</v>
      </c>
    </row>
    <row r="191" spans="1:15">
      <c r="A191" s="25" t="s">
        <v>529</v>
      </c>
      <c r="B191" s="25" t="s">
        <v>530</v>
      </c>
      <c r="C191" s="25" t="s">
        <v>156</v>
      </c>
      <c r="D191" s="53" t="s">
        <v>157</v>
      </c>
      <c r="E191" s="53" t="s">
        <v>100</v>
      </c>
      <c r="F191" s="54">
        <v>0</v>
      </c>
      <c r="G191" s="56"/>
      <c r="H191" s="72"/>
      <c r="J191" s="25" t="s">
        <v>529</v>
      </c>
      <c r="K191" s="25" t="s">
        <v>530</v>
      </c>
      <c r="L191" s="26">
        <v>0</v>
      </c>
      <c r="M191" s="26">
        <v>0</v>
      </c>
      <c r="N191" s="26">
        <v>0</v>
      </c>
      <c r="O191" s="26">
        <v>0</v>
      </c>
    </row>
    <row r="192" spans="1:15">
      <c r="A192" s="25" t="s">
        <v>531</v>
      </c>
      <c r="B192" s="25" t="s">
        <v>532</v>
      </c>
      <c r="C192" s="25" t="s">
        <v>156</v>
      </c>
      <c r="D192" s="25" t="s">
        <v>162</v>
      </c>
      <c r="E192" s="25" t="s">
        <v>100</v>
      </c>
      <c r="F192" s="52">
        <v>87463.6</v>
      </c>
      <c r="G192" s="56"/>
      <c r="H192" s="72"/>
      <c r="J192" s="25" t="s">
        <v>531</v>
      </c>
      <c r="K192" s="25" t="s">
        <v>532</v>
      </c>
      <c r="L192" s="26">
        <v>87463.6</v>
      </c>
      <c r="M192" s="70">
        <v>31176.7</v>
      </c>
      <c r="N192" s="70">
        <v>50083.15</v>
      </c>
      <c r="O192" s="26">
        <v>6203.75</v>
      </c>
    </row>
    <row r="193" spans="1:15">
      <c r="A193" s="25" t="s">
        <v>533</v>
      </c>
      <c r="B193" s="25" t="s">
        <v>2164</v>
      </c>
      <c r="C193" s="25" t="s">
        <v>156</v>
      </c>
      <c r="D193" s="25" t="s">
        <v>162</v>
      </c>
      <c r="E193" s="25" t="s">
        <v>100</v>
      </c>
      <c r="F193" s="52">
        <v>44688.5</v>
      </c>
      <c r="G193" s="56"/>
      <c r="H193" s="72"/>
      <c r="J193" s="25" t="s">
        <v>533</v>
      </c>
      <c r="K193" s="25" t="s">
        <v>2164</v>
      </c>
      <c r="L193" s="26">
        <v>44688.5</v>
      </c>
      <c r="M193" s="70">
        <v>16924.560000000001</v>
      </c>
      <c r="N193" s="70">
        <v>27763.94</v>
      </c>
      <c r="O193" s="26">
        <v>0</v>
      </c>
    </row>
    <row r="194" spans="1:15">
      <c r="A194" s="25" t="s">
        <v>535</v>
      </c>
      <c r="B194" s="25" t="s">
        <v>536</v>
      </c>
      <c r="C194" s="25" t="s">
        <v>156</v>
      </c>
      <c r="D194" s="25" t="s">
        <v>162</v>
      </c>
      <c r="E194" s="25" t="s">
        <v>100</v>
      </c>
      <c r="F194" s="52">
        <v>21412.87</v>
      </c>
      <c r="G194" s="56"/>
      <c r="H194" s="72"/>
      <c r="J194" s="25" t="s">
        <v>535</v>
      </c>
      <c r="K194" s="25" t="s">
        <v>536</v>
      </c>
      <c r="L194" s="26">
        <v>21412.87</v>
      </c>
      <c r="M194" s="70">
        <v>0</v>
      </c>
      <c r="N194" s="70">
        <v>21412.87</v>
      </c>
      <c r="O194" s="26">
        <v>0</v>
      </c>
    </row>
    <row r="195" spans="1:15">
      <c r="A195" s="25" t="s">
        <v>537</v>
      </c>
      <c r="B195" s="25" t="s">
        <v>538</v>
      </c>
      <c r="C195" s="25" t="s">
        <v>156</v>
      </c>
      <c r="D195" s="25" t="s">
        <v>162</v>
      </c>
      <c r="E195" s="25" t="s">
        <v>100</v>
      </c>
      <c r="F195" s="52">
        <v>49122.02</v>
      </c>
      <c r="G195" s="56"/>
      <c r="H195" s="72"/>
      <c r="J195" s="25" t="s">
        <v>537</v>
      </c>
      <c r="K195" s="25" t="s">
        <v>538</v>
      </c>
      <c r="L195" s="26">
        <v>49122.02</v>
      </c>
      <c r="M195" s="70">
        <v>1331.39</v>
      </c>
      <c r="N195" s="70">
        <v>45890.94</v>
      </c>
      <c r="O195" s="26">
        <v>1899.69</v>
      </c>
    </row>
    <row r="196" spans="1:15">
      <c r="A196" s="25" t="s">
        <v>539</v>
      </c>
      <c r="B196" s="25" t="s">
        <v>540</v>
      </c>
      <c r="C196" s="25" t="s">
        <v>156</v>
      </c>
      <c r="D196" s="25" t="s">
        <v>162</v>
      </c>
      <c r="E196" s="25" t="s">
        <v>100</v>
      </c>
      <c r="F196" s="52">
        <v>252663.73</v>
      </c>
      <c r="G196" s="56"/>
      <c r="H196" s="72"/>
      <c r="J196" s="25" t="s">
        <v>539</v>
      </c>
      <c r="K196" s="25" t="s">
        <v>540</v>
      </c>
      <c r="L196" s="26">
        <v>252663.73</v>
      </c>
      <c r="M196" s="70">
        <v>79524.42</v>
      </c>
      <c r="N196" s="70">
        <v>150521.20000000001</v>
      </c>
      <c r="O196" s="70">
        <v>22618.11</v>
      </c>
    </row>
    <row r="197" spans="1:15">
      <c r="A197" s="25" t="s">
        <v>541</v>
      </c>
      <c r="B197" s="25" t="s">
        <v>542</v>
      </c>
      <c r="C197" s="25" t="s">
        <v>156</v>
      </c>
      <c r="D197" s="25" t="s">
        <v>162</v>
      </c>
      <c r="E197" s="25" t="s">
        <v>100</v>
      </c>
      <c r="F197" s="52">
        <v>12484.15</v>
      </c>
      <c r="G197" s="56"/>
      <c r="H197" s="72"/>
      <c r="J197" s="25" t="s">
        <v>541</v>
      </c>
      <c r="K197" s="25" t="s">
        <v>542</v>
      </c>
      <c r="L197" s="26">
        <v>12484.15</v>
      </c>
      <c r="M197" s="70">
        <v>2935.95</v>
      </c>
      <c r="N197" s="70">
        <v>7104.2</v>
      </c>
      <c r="O197" s="26">
        <v>2444</v>
      </c>
    </row>
    <row r="198" spans="1:15">
      <c r="A198" s="25" t="s">
        <v>543</v>
      </c>
      <c r="B198" s="25" t="s">
        <v>220</v>
      </c>
      <c r="C198" s="25" t="s">
        <v>156</v>
      </c>
      <c r="D198" s="25" t="s">
        <v>162</v>
      </c>
      <c r="E198" s="25" t="s">
        <v>100</v>
      </c>
      <c r="F198" s="52">
        <v>48085.1</v>
      </c>
      <c r="G198" s="56"/>
      <c r="H198" s="72">
        <v>27191</v>
      </c>
      <c r="I198" t="s">
        <v>2250</v>
      </c>
      <c r="J198" s="25" t="s">
        <v>543</v>
      </c>
      <c r="K198" s="25" t="s">
        <v>220</v>
      </c>
      <c r="L198" s="26">
        <v>48085.1</v>
      </c>
      <c r="M198" s="70">
        <v>19715.599999999999</v>
      </c>
      <c r="N198" s="70">
        <v>28369.5</v>
      </c>
      <c r="O198" s="26">
        <v>0</v>
      </c>
    </row>
    <row r="199" spans="1:15">
      <c r="A199" s="25" t="s">
        <v>547</v>
      </c>
      <c r="B199" s="25" t="s">
        <v>548</v>
      </c>
      <c r="C199" s="25" t="s">
        <v>156</v>
      </c>
      <c r="D199" s="53" t="s">
        <v>169</v>
      </c>
      <c r="E199" s="53" t="s">
        <v>549</v>
      </c>
      <c r="F199" s="54">
        <v>515919.97</v>
      </c>
      <c r="G199" s="56"/>
      <c r="H199" s="72">
        <v>37550</v>
      </c>
      <c r="I199" t="s">
        <v>2251</v>
      </c>
      <c r="J199" s="25" t="s">
        <v>547</v>
      </c>
      <c r="K199" s="25" t="s">
        <v>548</v>
      </c>
      <c r="L199" s="55">
        <v>515919.97</v>
      </c>
      <c r="M199" s="55">
        <v>151608.62</v>
      </c>
      <c r="N199" s="55">
        <v>331145.8</v>
      </c>
      <c r="O199" s="55">
        <v>33165.550000000003</v>
      </c>
    </row>
    <row r="200" spans="1:15">
      <c r="A200" s="25" t="s">
        <v>550</v>
      </c>
      <c r="B200" s="25" t="s">
        <v>551</v>
      </c>
      <c r="C200" s="25" t="s">
        <v>156</v>
      </c>
      <c r="D200" s="53" t="s">
        <v>157</v>
      </c>
      <c r="E200" s="53" t="s">
        <v>100</v>
      </c>
      <c r="F200" s="54">
        <v>0</v>
      </c>
      <c r="G200" s="56"/>
      <c r="H200" s="72"/>
      <c r="J200" s="25" t="s">
        <v>550</v>
      </c>
      <c r="K200" s="25" t="s">
        <v>551</v>
      </c>
      <c r="L200" s="26">
        <v>0</v>
      </c>
      <c r="M200" s="26">
        <v>0</v>
      </c>
      <c r="N200" s="26">
        <v>0</v>
      </c>
      <c r="O200" s="26">
        <v>0</v>
      </c>
    </row>
    <row r="201" spans="1:15">
      <c r="A201" s="25" t="s">
        <v>552</v>
      </c>
      <c r="B201" s="25" t="s">
        <v>553</v>
      </c>
      <c r="C201" s="25" t="s">
        <v>156</v>
      </c>
      <c r="D201" s="25" t="s">
        <v>162</v>
      </c>
      <c r="E201" s="25" t="s">
        <v>100</v>
      </c>
      <c r="F201" s="52">
        <v>108803</v>
      </c>
      <c r="G201" s="56"/>
      <c r="H201" s="72"/>
      <c r="J201" s="25" t="s">
        <v>552</v>
      </c>
      <c r="K201" s="25" t="s">
        <v>553</v>
      </c>
      <c r="L201" s="26">
        <v>108803</v>
      </c>
      <c r="M201" s="70">
        <v>108803</v>
      </c>
      <c r="N201" s="70">
        <v>0</v>
      </c>
      <c r="O201" s="26">
        <v>0</v>
      </c>
    </row>
    <row r="202" spans="1:15">
      <c r="A202" s="25" t="s">
        <v>554</v>
      </c>
      <c r="B202" s="25" t="s">
        <v>555</v>
      </c>
      <c r="C202" s="25" t="s">
        <v>156</v>
      </c>
      <c r="D202" s="25" t="s">
        <v>162</v>
      </c>
      <c r="E202" s="25" t="s">
        <v>100</v>
      </c>
      <c r="F202" s="52">
        <v>130985.97</v>
      </c>
      <c r="G202" s="56"/>
      <c r="H202" s="72"/>
      <c r="J202" s="25" t="s">
        <v>554</v>
      </c>
      <c r="K202" s="25" t="s">
        <v>555</v>
      </c>
      <c r="L202" s="26">
        <v>130985.97</v>
      </c>
      <c r="M202" s="70">
        <v>66706.289999999994</v>
      </c>
      <c r="N202" s="70">
        <v>57307.68</v>
      </c>
      <c r="O202" s="26">
        <v>6972</v>
      </c>
    </row>
    <row r="203" spans="1:15">
      <c r="A203" s="25" t="s">
        <v>556</v>
      </c>
      <c r="B203" s="25" t="s">
        <v>557</v>
      </c>
      <c r="C203" s="25" t="s">
        <v>156</v>
      </c>
      <c r="D203" s="25" t="s">
        <v>162</v>
      </c>
      <c r="E203" s="25" t="s">
        <v>100</v>
      </c>
      <c r="F203" s="52">
        <v>763358.87</v>
      </c>
      <c r="G203" s="56"/>
      <c r="H203" s="72"/>
      <c r="J203" s="25" t="s">
        <v>556</v>
      </c>
      <c r="K203" s="25" t="s">
        <v>557</v>
      </c>
      <c r="L203" s="26">
        <v>763358.87</v>
      </c>
      <c r="M203" s="70">
        <v>264775.61</v>
      </c>
      <c r="N203" s="70">
        <v>416129.57</v>
      </c>
      <c r="O203" s="26">
        <v>82453.69</v>
      </c>
    </row>
    <row r="204" spans="1:15">
      <c r="A204" s="25" t="s">
        <v>558</v>
      </c>
      <c r="B204" s="25" t="s">
        <v>559</v>
      </c>
      <c r="C204" s="25" t="s">
        <v>156</v>
      </c>
      <c r="D204" s="25" t="s">
        <v>162</v>
      </c>
      <c r="E204" s="25" t="s">
        <v>100</v>
      </c>
      <c r="F204" s="52">
        <v>101019.98</v>
      </c>
      <c r="G204" s="56"/>
      <c r="H204" s="72"/>
      <c r="J204" s="25" t="s">
        <v>558</v>
      </c>
      <c r="K204" s="25" t="s">
        <v>559</v>
      </c>
      <c r="L204" s="26">
        <v>101019.98</v>
      </c>
      <c r="M204" s="70">
        <v>55860.26</v>
      </c>
      <c r="N204" s="70">
        <v>37352.69</v>
      </c>
      <c r="O204" s="26">
        <v>7807.03</v>
      </c>
    </row>
    <row r="205" spans="1:15">
      <c r="A205" s="25" t="s">
        <v>560</v>
      </c>
      <c r="B205" s="25" t="s">
        <v>561</v>
      </c>
      <c r="C205" s="25" t="s">
        <v>156</v>
      </c>
      <c r="D205" s="25" t="s">
        <v>162</v>
      </c>
      <c r="E205" s="25" t="s">
        <v>100</v>
      </c>
      <c r="F205" s="52">
        <v>110721.22</v>
      </c>
      <c r="G205" s="56"/>
      <c r="H205" s="72"/>
      <c r="J205" s="25" t="s">
        <v>560</v>
      </c>
      <c r="K205" s="25" t="s">
        <v>561</v>
      </c>
      <c r="L205" s="26">
        <v>110721.22</v>
      </c>
      <c r="M205" s="70">
        <v>69617.509999999995</v>
      </c>
      <c r="N205" s="70">
        <v>40011.410000000003</v>
      </c>
      <c r="O205" s="26">
        <v>1092.3</v>
      </c>
    </row>
    <row r="206" spans="1:15">
      <c r="A206" s="25" t="s">
        <v>562</v>
      </c>
      <c r="B206" s="25" t="s">
        <v>563</v>
      </c>
      <c r="C206" s="25" t="s">
        <v>156</v>
      </c>
      <c r="D206" s="25" t="s">
        <v>162</v>
      </c>
      <c r="E206" s="25" t="s">
        <v>100</v>
      </c>
      <c r="F206" s="52">
        <v>189365.37</v>
      </c>
      <c r="G206" s="56"/>
      <c r="H206" s="72"/>
      <c r="J206" s="25" t="s">
        <v>562</v>
      </c>
      <c r="K206" s="25" t="s">
        <v>563</v>
      </c>
      <c r="L206" s="26">
        <v>189365.37</v>
      </c>
      <c r="M206" s="26">
        <v>0</v>
      </c>
      <c r="N206" s="70">
        <v>188476.3</v>
      </c>
      <c r="O206" s="26">
        <v>889.07</v>
      </c>
    </row>
    <row r="207" spans="1:15">
      <c r="A207" s="25" t="s">
        <v>564</v>
      </c>
      <c r="B207" s="25" t="s">
        <v>565</v>
      </c>
      <c r="C207" s="25" t="s">
        <v>156</v>
      </c>
      <c r="D207" s="25" t="s">
        <v>162</v>
      </c>
      <c r="E207" s="25" t="s">
        <v>100</v>
      </c>
      <c r="F207" s="52">
        <v>0</v>
      </c>
      <c r="G207" s="56"/>
      <c r="H207" s="72"/>
      <c r="J207" s="25" t="s">
        <v>564</v>
      </c>
      <c r="K207" s="25" t="s">
        <v>565</v>
      </c>
      <c r="L207" s="26">
        <v>0</v>
      </c>
      <c r="M207" s="26">
        <v>0</v>
      </c>
      <c r="N207" s="26">
        <v>0</v>
      </c>
      <c r="O207" s="26">
        <v>0</v>
      </c>
    </row>
    <row r="208" spans="1:15">
      <c r="A208" s="25" t="s">
        <v>566</v>
      </c>
      <c r="B208" s="25" t="s">
        <v>567</v>
      </c>
      <c r="C208" s="25" t="s">
        <v>156</v>
      </c>
      <c r="D208" s="53" t="s">
        <v>169</v>
      </c>
      <c r="E208" s="53" t="s">
        <v>568</v>
      </c>
      <c r="F208" s="54">
        <v>1404254.41</v>
      </c>
      <c r="G208" s="56"/>
      <c r="H208" s="72"/>
      <c r="J208" s="25" t="s">
        <v>566</v>
      </c>
      <c r="K208" s="25" t="s">
        <v>567</v>
      </c>
      <c r="L208" s="55">
        <v>1404254.41</v>
      </c>
      <c r="M208" s="55">
        <v>565762.67000000004</v>
      </c>
      <c r="N208" s="55">
        <v>739277.65</v>
      </c>
      <c r="O208" s="55">
        <v>99214.09</v>
      </c>
    </row>
    <row r="209" spans="1:15">
      <c r="A209" s="25" t="s">
        <v>569</v>
      </c>
      <c r="B209" s="25" t="s">
        <v>570</v>
      </c>
      <c r="C209" s="25" t="s">
        <v>156</v>
      </c>
      <c r="D209" s="53" t="s">
        <v>157</v>
      </c>
      <c r="E209" s="53" t="s">
        <v>100</v>
      </c>
      <c r="F209" s="54">
        <v>0</v>
      </c>
      <c r="G209" s="56"/>
      <c r="H209" s="72"/>
      <c r="J209" s="25" t="s">
        <v>569</v>
      </c>
      <c r="K209" s="25" t="s">
        <v>570</v>
      </c>
      <c r="L209" s="26">
        <v>0</v>
      </c>
      <c r="M209" s="26">
        <v>0</v>
      </c>
      <c r="N209" s="26">
        <v>0</v>
      </c>
      <c r="O209" s="26">
        <v>0</v>
      </c>
    </row>
    <row r="210" spans="1:15">
      <c r="A210" s="25" t="s">
        <v>571</v>
      </c>
      <c r="B210" s="25" t="s">
        <v>572</v>
      </c>
      <c r="C210" s="25" t="s">
        <v>156</v>
      </c>
      <c r="D210" s="25" t="s">
        <v>162</v>
      </c>
      <c r="E210" s="25" t="s">
        <v>100</v>
      </c>
      <c r="F210" s="52">
        <v>7955.83</v>
      </c>
      <c r="G210" s="56"/>
      <c r="H210" s="72"/>
      <c r="J210" s="25" t="s">
        <v>571</v>
      </c>
      <c r="K210" s="25" t="s">
        <v>572</v>
      </c>
      <c r="L210" s="26">
        <v>7955.83</v>
      </c>
      <c r="M210" s="26">
        <v>3716.87</v>
      </c>
      <c r="N210" s="70">
        <v>4238.96</v>
      </c>
      <c r="O210" s="26">
        <v>0</v>
      </c>
    </row>
    <row r="211" spans="1:15">
      <c r="A211" s="25" t="s">
        <v>573</v>
      </c>
      <c r="B211" s="25" t="s">
        <v>574</v>
      </c>
      <c r="C211" s="25" t="s">
        <v>156</v>
      </c>
      <c r="D211" s="25" t="s">
        <v>162</v>
      </c>
      <c r="E211" s="25" t="s">
        <v>100</v>
      </c>
      <c r="F211" s="52">
        <v>24525</v>
      </c>
      <c r="G211" s="56"/>
      <c r="H211" s="72"/>
      <c r="J211" s="25" t="s">
        <v>573</v>
      </c>
      <c r="K211" s="25" t="s">
        <v>574</v>
      </c>
      <c r="L211" s="26">
        <v>24525</v>
      </c>
      <c r="M211" s="70">
        <v>12000</v>
      </c>
      <c r="N211" s="70">
        <v>12525</v>
      </c>
      <c r="O211" s="26">
        <v>0</v>
      </c>
    </row>
    <row r="212" spans="1:15">
      <c r="A212" s="25" t="s">
        <v>575</v>
      </c>
      <c r="B212" s="25" t="s">
        <v>576</v>
      </c>
      <c r="C212" s="25" t="s">
        <v>156</v>
      </c>
      <c r="D212" s="53" t="s">
        <v>169</v>
      </c>
      <c r="E212" s="53" t="s">
        <v>577</v>
      </c>
      <c r="F212" s="54">
        <v>32480.83</v>
      </c>
      <c r="G212" s="56"/>
      <c r="H212" s="72"/>
      <c r="J212" s="25" t="s">
        <v>575</v>
      </c>
      <c r="K212" s="25" t="s">
        <v>576</v>
      </c>
      <c r="L212" s="55">
        <v>32480.83</v>
      </c>
      <c r="M212" s="55">
        <v>15716.87</v>
      </c>
      <c r="N212" s="55">
        <v>16763.96</v>
      </c>
      <c r="O212" s="55">
        <v>0</v>
      </c>
    </row>
    <row r="213" spans="1:15">
      <c r="A213" s="25" t="s">
        <v>578</v>
      </c>
      <c r="B213" s="25" t="s">
        <v>579</v>
      </c>
      <c r="C213" s="25" t="s">
        <v>156</v>
      </c>
      <c r="D213" s="53" t="s">
        <v>157</v>
      </c>
      <c r="E213" s="53" t="s">
        <v>100</v>
      </c>
      <c r="F213" s="54">
        <v>0</v>
      </c>
      <c r="G213" s="56"/>
      <c r="H213" s="72"/>
      <c r="J213" s="25" t="s">
        <v>578</v>
      </c>
      <c r="K213" s="25" t="s">
        <v>579</v>
      </c>
      <c r="L213" s="26">
        <v>0</v>
      </c>
      <c r="M213" s="26">
        <v>0</v>
      </c>
      <c r="N213" s="26">
        <v>0</v>
      </c>
      <c r="O213" s="26">
        <v>0</v>
      </c>
    </row>
    <row r="214" spans="1:15">
      <c r="A214" s="25" t="s">
        <v>580</v>
      </c>
      <c r="B214" s="25" t="s">
        <v>581</v>
      </c>
      <c r="C214" s="25" t="s">
        <v>156</v>
      </c>
      <c r="D214" s="25" t="s">
        <v>162</v>
      </c>
      <c r="E214" s="25" t="s">
        <v>100</v>
      </c>
      <c r="F214" s="52">
        <v>31412.85</v>
      </c>
      <c r="G214" s="56"/>
      <c r="H214" s="72"/>
      <c r="J214" s="25" t="s">
        <v>580</v>
      </c>
      <c r="K214" s="25" t="s">
        <v>581</v>
      </c>
      <c r="L214" s="26">
        <v>31412.85</v>
      </c>
      <c r="M214" s="70">
        <v>31412.85</v>
      </c>
      <c r="N214" s="26">
        <v>0</v>
      </c>
      <c r="O214" s="26">
        <v>0</v>
      </c>
    </row>
    <row r="215" spans="1:15">
      <c r="A215" s="25" t="s">
        <v>582</v>
      </c>
      <c r="B215" s="25" t="s">
        <v>583</v>
      </c>
      <c r="C215" s="25" t="s">
        <v>156</v>
      </c>
      <c r="D215" s="25" t="s">
        <v>162</v>
      </c>
      <c r="E215" s="25" t="s">
        <v>100</v>
      </c>
      <c r="F215" s="52">
        <v>190102.01</v>
      </c>
      <c r="G215" s="56"/>
      <c r="H215" s="72"/>
      <c r="J215" s="25" t="s">
        <v>582</v>
      </c>
      <c r="K215" s="25" t="s">
        <v>583</v>
      </c>
      <c r="L215" s="26">
        <v>190102.01</v>
      </c>
      <c r="M215" s="70">
        <v>190102.01</v>
      </c>
      <c r="N215" s="26">
        <v>0</v>
      </c>
      <c r="O215" s="26">
        <v>0</v>
      </c>
    </row>
    <row r="216" spans="1:15">
      <c r="A216" s="25" t="s">
        <v>584</v>
      </c>
      <c r="B216" s="25" t="s">
        <v>2199</v>
      </c>
      <c r="C216" s="25" t="s">
        <v>156</v>
      </c>
      <c r="D216" s="25" t="s">
        <v>162</v>
      </c>
      <c r="E216" s="25" t="s">
        <v>100</v>
      </c>
      <c r="F216" s="52">
        <v>-50387.5</v>
      </c>
      <c r="G216" s="56"/>
      <c r="H216" s="72"/>
      <c r="J216" s="25" t="s">
        <v>584</v>
      </c>
      <c r="K216" s="25" t="s">
        <v>2199</v>
      </c>
      <c r="L216" s="26">
        <v>-50387.5</v>
      </c>
      <c r="M216" s="70">
        <v>-50387.5</v>
      </c>
      <c r="N216" s="26">
        <v>0</v>
      </c>
      <c r="O216" s="26">
        <v>0</v>
      </c>
    </row>
    <row r="217" spans="1:15">
      <c r="A217" s="25" t="s">
        <v>586</v>
      </c>
      <c r="B217" s="25" t="s">
        <v>587</v>
      </c>
      <c r="C217" s="25" t="s">
        <v>156</v>
      </c>
      <c r="D217" s="25" t="s">
        <v>162</v>
      </c>
      <c r="E217" s="25" t="s">
        <v>100</v>
      </c>
      <c r="F217" s="52">
        <v>150383.92000000001</v>
      </c>
      <c r="G217" s="56"/>
      <c r="H217" s="72"/>
      <c r="J217" s="25" t="s">
        <v>586</v>
      </c>
      <c r="K217" s="25" t="s">
        <v>587</v>
      </c>
      <c r="L217" s="26">
        <v>150383.92000000001</v>
      </c>
      <c r="M217" s="26">
        <v>0</v>
      </c>
      <c r="N217" s="70">
        <v>150383.92000000001</v>
      </c>
      <c r="O217" s="26">
        <v>0</v>
      </c>
    </row>
    <row r="218" spans="1:15">
      <c r="A218" s="25" t="s">
        <v>588</v>
      </c>
      <c r="B218" s="25" t="s">
        <v>589</v>
      </c>
      <c r="C218" s="25" t="s">
        <v>156</v>
      </c>
      <c r="D218" s="25" t="s">
        <v>162</v>
      </c>
      <c r="E218" s="25" t="s">
        <v>100</v>
      </c>
      <c r="F218" s="52">
        <v>50168.44</v>
      </c>
      <c r="G218" s="56"/>
      <c r="H218" s="72"/>
      <c r="J218" s="25" t="s">
        <v>588</v>
      </c>
      <c r="K218" s="25" t="s">
        <v>589</v>
      </c>
      <c r="L218" s="26">
        <v>50168.44</v>
      </c>
      <c r="M218" s="26">
        <v>0</v>
      </c>
      <c r="N218" s="70">
        <v>50168.44</v>
      </c>
      <c r="O218" s="26">
        <v>0</v>
      </c>
    </row>
    <row r="219" spans="1:15">
      <c r="A219" s="25" t="s">
        <v>590</v>
      </c>
      <c r="B219" s="25" t="s">
        <v>591</v>
      </c>
      <c r="C219" s="25" t="s">
        <v>156</v>
      </c>
      <c r="D219" s="25" t="s">
        <v>162</v>
      </c>
      <c r="E219" s="25" t="s">
        <v>100</v>
      </c>
      <c r="F219" s="52">
        <v>16395.759999999998</v>
      </c>
      <c r="G219" s="56"/>
      <c r="H219" s="72"/>
      <c r="J219" s="25" t="s">
        <v>590</v>
      </c>
      <c r="K219" s="25" t="s">
        <v>591</v>
      </c>
      <c r="L219" s="26">
        <v>16395.759999999998</v>
      </c>
      <c r="M219" s="70">
        <v>16395.759999999998</v>
      </c>
      <c r="N219" s="26">
        <v>0</v>
      </c>
      <c r="O219" s="26">
        <v>0</v>
      </c>
    </row>
    <row r="220" spans="1:15">
      <c r="A220" s="25" t="s">
        <v>592</v>
      </c>
      <c r="B220" s="25" t="s">
        <v>593</v>
      </c>
      <c r="C220" s="25" t="s">
        <v>156</v>
      </c>
      <c r="D220" s="25" t="s">
        <v>162</v>
      </c>
      <c r="E220" s="25" t="s">
        <v>100</v>
      </c>
      <c r="F220" s="52">
        <v>8570.5499999999993</v>
      </c>
      <c r="G220" s="56"/>
      <c r="H220" s="72"/>
      <c r="J220" s="25" t="s">
        <v>592</v>
      </c>
      <c r="K220" s="25" t="s">
        <v>593</v>
      </c>
      <c r="L220" s="26">
        <v>8570.5499999999993</v>
      </c>
      <c r="M220" s="70">
        <v>8570.5499999999993</v>
      </c>
      <c r="N220" s="26">
        <v>0</v>
      </c>
      <c r="O220" s="26">
        <v>0</v>
      </c>
    </row>
    <row r="221" spans="1:15">
      <c r="A221" s="25" t="s">
        <v>597</v>
      </c>
      <c r="B221" s="25" t="s">
        <v>595</v>
      </c>
      <c r="C221" s="25" t="s">
        <v>156</v>
      </c>
      <c r="D221" s="53" t="s">
        <v>169</v>
      </c>
      <c r="E221" s="53" t="s">
        <v>2252</v>
      </c>
      <c r="F221" s="54">
        <v>396646.03</v>
      </c>
      <c r="G221" s="56"/>
      <c r="H221" s="72"/>
      <c r="J221" s="25" t="s">
        <v>597</v>
      </c>
      <c r="K221" s="25" t="s">
        <v>595</v>
      </c>
      <c r="L221" s="55">
        <v>396646.03</v>
      </c>
      <c r="M221" s="55">
        <v>196093.67</v>
      </c>
      <c r="N221" s="55">
        <v>200552.36</v>
      </c>
      <c r="O221" s="55">
        <v>0</v>
      </c>
    </row>
    <row r="222" spans="1:15">
      <c r="A222" s="25" t="s">
        <v>620</v>
      </c>
      <c r="B222" s="25" t="s">
        <v>621</v>
      </c>
      <c r="C222" s="25" t="s">
        <v>156</v>
      </c>
      <c r="D222" s="53" t="s">
        <v>169</v>
      </c>
      <c r="E222" s="53" t="s">
        <v>622</v>
      </c>
      <c r="F222" s="54">
        <v>1597643.84</v>
      </c>
      <c r="G222" s="56"/>
      <c r="H222" s="72"/>
      <c r="J222" s="25" t="s">
        <v>620</v>
      </c>
      <c r="K222" s="25" t="s">
        <v>621</v>
      </c>
      <c r="L222" s="55">
        <v>1597643.34</v>
      </c>
      <c r="M222" s="55">
        <v>1372812.15</v>
      </c>
      <c r="N222" s="55">
        <v>125460.68</v>
      </c>
      <c r="O222" s="55">
        <v>99370.51</v>
      </c>
    </row>
    <row r="223" spans="1:15">
      <c r="A223" s="25" t="s">
        <v>623</v>
      </c>
      <c r="B223" s="25" t="s">
        <v>624</v>
      </c>
      <c r="C223" s="25" t="s">
        <v>156</v>
      </c>
      <c r="D223" s="53" t="s">
        <v>169</v>
      </c>
      <c r="E223" s="53" t="s">
        <v>625</v>
      </c>
      <c r="F223" s="54">
        <v>1660897.15</v>
      </c>
      <c r="G223" s="56"/>
      <c r="H223" s="72"/>
      <c r="J223" s="25" t="s">
        <v>623</v>
      </c>
      <c r="K223" s="25" t="s">
        <v>624</v>
      </c>
      <c r="L223" s="55">
        <v>1660896.65</v>
      </c>
      <c r="M223" s="55">
        <v>1372812.15</v>
      </c>
      <c r="N223" s="55">
        <v>188713.99</v>
      </c>
      <c r="O223" s="55">
        <v>99370.51</v>
      </c>
    </row>
    <row r="224" spans="1:15">
      <c r="A224" s="25" t="s">
        <v>626</v>
      </c>
      <c r="B224" s="25" t="s">
        <v>627</v>
      </c>
      <c r="C224" s="25" t="s">
        <v>156</v>
      </c>
      <c r="D224" s="53" t="s">
        <v>157</v>
      </c>
      <c r="E224" s="53" t="s">
        <v>100</v>
      </c>
      <c r="F224" s="54">
        <v>0</v>
      </c>
      <c r="G224" s="56"/>
      <c r="H224" s="72"/>
      <c r="J224" s="25"/>
      <c r="K224" s="25"/>
      <c r="L224" s="26"/>
      <c r="M224" s="26"/>
      <c r="N224" s="26"/>
      <c r="O224" s="26"/>
    </row>
    <row r="225" spans="1:15">
      <c r="A225" s="25" t="s">
        <v>628</v>
      </c>
      <c r="B225" s="25" t="s">
        <v>629</v>
      </c>
      <c r="C225" s="25" t="s">
        <v>156</v>
      </c>
      <c r="D225" s="25" t="s">
        <v>162</v>
      </c>
      <c r="E225" s="25" t="s">
        <v>100</v>
      </c>
      <c r="F225" s="52">
        <v>9528.74</v>
      </c>
      <c r="G225" s="56">
        <v>9529</v>
      </c>
      <c r="H225" s="72"/>
      <c r="J225" s="25"/>
      <c r="K225" s="25"/>
      <c r="L225" s="26"/>
      <c r="M225" s="26"/>
      <c r="N225" s="26"/>
      <c r="O225" s="26"/>
    </row>
    <row r="226" spans="1:15">
      <c r="A226" s="25" t="s">
        <v>630</v>
      </c>
      <c r="B226" s="25" t="s">
        <v>631</v>
      </c>
      <c r="C226" s="25" t="s">
        <v>156</v>
      </c>
      <c r="D226" s="53" t="s">
        <v>169</v>
      </c>
      <c r="E226" s="53" t="s">
        <v>632</v>
      </c>
      <c r="F226" s="54">
        <v>9528.74</v>
      </c>
      <c r="G226" s="57">
        <f>SUM(G225)</f>
        <v>9529</v>
      </c>
      <c r="H226" s="72"/>
      <c r="J226" s="25"/>
      <c r="K226" s="25"/>
      <c r="L226" s="26"/>
      <c r="M226" s="26"/>
      <c r="N226" s="26"/>
      <c r="O226" s="26"/>
    </row>
    <row r="227" spans="1:15">
      <c r="A227" s="25" t="s">
        <v>633</v>
      </c>
      <c r="B227" s="25" t="s">
        <v>634</v>
      </c>
      <c r="C227" s="25" t="s">
        <v>156</v>
      </c>
      <c r="D227" s="53" t="s">
        <v>169</v>
      </c>
      <c r="E227" s="53" t="s">
        <v>635</v>
      </c>
      <c r="F227" s="54">
        <v>1670425.89</v>
      </c>
      <c r="G227" s="57">
        <v>1670426</v>
      </c>
      <c r="H227" s="72"/>
      <c r="J227" s="25"/>
      <c r="K227" s="25"/>
      <c r="L227" s="26"/>
      <c r="M227" s="26"/>
      <c r="N227" s="26"/>
      <c r="O227" s="26"/>
    </row>
    <row r="228" spans="1:15">
      <c r="A228" s="25" t="s">
        <v>636</v>
      </c>
      <c r="B228" s="25" t="s">
        <v>637</v>
      </c>
      <c r="C228" s="25" t="s">
        <v>156</v>
      </c>
      <c r="D228" s="53" t="s">
        <v>157</v>
      </c>
      <c r="E228" s="53" t="s">
        <v>100</v>
      </c>
      <c r="F228" s="54">
        <v>0</v>
      </c>
      <c r="G228" s="56"/>
      <c r="H228" s="72"/>
    </row>
    <row r="229" spans="1:15">
      <c r="A229" s="25" t="s">
        <v>2165</v>
      </c>
      <c r="B229" s="25" t="s">
        <v>639</v>
      </c>
      <c r="C229" s="25" t="s">
        <v>156</v>
      </c>
      <c r="D229" s="53" t="s">
        <v>157</v>
      </c>
      <c r="E229" s="53" t="s">
        <v>100</v>
      </c>
      <c r="F229" s="54">
        <v>0</v>
      </c>
      <c r="G229" s="56"/>
      <c r="H229" s="72"/>
      <c r="L229" s="1"/>
    </row>
    <row r="230" spans="1:15">
      <c r="A230" s="25" t="s">
        <v>638</v>
      </c>
      <c r="B230" s="25" t="s">
        <v>639</v>
      </c>
      <c r="C230" s="25" t="s">
        <v>156</v>
      </c>
      <c r="D230" s="53" t="s">
        <v>157</v>
      </c>
      <c r="E230" s="53" t="s">
        <v>100</v>
      </c>
      <c r="F230" s="54">
        <v>0</v>
      </c>
      <c r="G230" s="56"/>
      <c r="H230" s="72"/>
    </row>
    <row r="231" spans="1:15">
      <c r="A231" s="25" t="s">
        <v>640</v>
      </c>
      <c r="B231" s="25" t="s">
        <v>641</v>
      </c>
      <c r="C231" s="25" t="s">
        <v>156</v>
      </c>
      <c r="D231" s="25" t="s">
        <v>162</v>
      </c>
      <c r="E231" s="25" t="s">
        <v>100</v>
      </c>
      <c r="F231" s="52">
        <v>-4251016.9000000004</v>
      </c>
      <c r="G231" s="56">
        <v>-4251017</v>
      </c>
      <c r="H231" s="72"/>
    </row>
    <row r="232" spans="1:15">
      <c r="A232" s="25" t="s">
        <v>642</v>
      </c>
      <c r="B232" s="25" t="s">
        <v>643</v>
      </c>
      <c r="C232" s="25" t="s">
        <v>156</v>
      </c>
      <c r="D232" s="25" t="s">
        <v>162</v>
      </c>
      <c r="E232" s="25" t="s">
        <v>100</v>
      </c>
      <c r="F232" s="52">
        <v>-27938.07</v>
      </c>
      <c r="G232" s="56">
        <v>-27938</v>
      </c>
      <c r="H232" s="72"/>
    </row>
    <row r="233" spans="1:15">
      <c r="A233" s="25" t="s">
        <v>644</v>
      </c>
      <c r="B233" s="25" t="s">
        <v>645</v>
      </c>
      <c r="C233" s="25" t="s">
        <v>156</v>
      </c>
      <c r="D233" s="25" t="s">
        <v>162</v>
      </c>
      <c r="E233" s="25" t="s">
        <v>100</v>
      </c>
      <c r="F233" s="52">
        <v>0</v>
      </c>
      <c r="G233" s="56">
        <v>0</v>
      </c>
      <c r="H233" s="72"/>
    </row>
    <row r="234" spans="1:15">
      <c r="A234" s="25" t="s">
        <v>646</v>
      </c>
      <c r="B234" s="25" t="s">
        <v>202</v>
      </c>
      <c r="C234" s="25" t="s">
        <v>156</v>
      </c>
      <c r="D234" s="25" t="s">
        <v>162</v>
      </c>
      <c r="E234" s="25" t="s">
        <v>100</v>
      </c>
      <c r="F234" s="52">
        <v>0</v>
      </c>
      <c r="G234" s="56">
        <v>0</v>
      </c>
      <c r="H234" s="72"/>
    </row>
    <row r="235" spans="1:15">
      <c r="A235" s="25" t="s">
        <v>647</v>
      </c>
      <c r="B235" s="25" t="s">
        <v>648</v>
      </c>
      <c r="C235" s="25" t="s">
        <v>156</v>
      </c>
      <c r="D235" s="25" t="s">
        <v>162</v>
      </c>
      <c r="E235" s="25" t="s">
        <v>100</v>
      </c>
      <c r="F235" s="52">
        <v>154530</v>
      </c>
      <c r="G235" s="56">
        <v>154530</v>
      </c>
      <c r="H235" s="72"/>
    </row>
    <row r="236" spans="1:15">
      <c r="A236" s="25" t="s">
        <v>649</v>
      </c>
      <c r="B236" s="25" t="s">
        <v>650</v>
      </c>
      <c r="C236" s="25" t="s">
        <v>156</v>
      </c>
      <c r="D236" s="25" t="s">
        <v>162</v>
      </c>
      <c r="E236" s="25" t="s">
        <v>100</v>
      </c>
      <c r="F236" s="52">
        <v>249890.36</v>
      </c>
      <c r="G236" s="56">
        <v>249890</v>
      </c>
      <c r="H236" s="72">
        <v>394</v>
      </c>
    </row>
    <row r="237" spans="1:15">
      <c r="A237" s="25" t="s">
        <v>651</v>
      </c>
      <c r="B237" s="25" t="s">
        <v>652</v>
      </c>
      <c r="C237" s="25" t="s">
        <v>156</v>
      </c>
      <c r="D237" s="25" t="s">
        <v>162</v>
      </c>
      <c r="E237" s="25" t="s">
        <v>100</v>
      </c>
      <c r="F237" s="52">
        <v>386256.13</v>
      </c>
      <c r="G237" s="56">
        <v>386256</v>
      </c>
      <c r="H237" s="72"/>
    </row>
    <row r="238" spans="1:15">
      <c r="A238" s="25" t="s">
        <v>653</v>
      </c>
      <c r="B238" s="25" t="s">
        <v>654</v>
      </c>
      <c r="C238" s="25" t="s">
        <v>156</v>
      </c>
      <c r="D238" s="25" t="s">
        <v>162</v>
      </c>
      <c r="E238" s="25" t="s">
        <v>100</v>
      </c>
      <c r="F238" s="52">
        <v>3220</v>
      </c>
      <c r="G238" s="56">
        <v>3220</v>
      </c>
      <c r="H238" s="72"/>
    </row>
    <row r="239" spans="1:15">
      <c r="A239" s="25" t="s">
        <v>655</v>
      </c>
      <c r="B239" s="25" t="s">
        <v>656</v>
      </c>
      <c r="C239" s="25" t="s">
        <v>156</v>
      </c>
      <c r="D239" s="25" t="s">
        <v>162</v>
      </c>
      <c r="E239" s="25" t="s">
        <v>100</v>
      </c>
      <c r="F239" s="52">
        <v>39192.75</v>
      </c>
      <c r="G239" s="56">
        <v>39193</v>
      </c>
      <c r="H239" s="72"/>
    </row>
    <row r="240" spans="1:15">
      <c r="A240" s="25" t="s">
        <v>657</v>
      </c>
      <c r="B240" s="25" t="s">
        <v>658</v>
      </c>
      <c r="C240" s="25" t="s">
        <v>156</v>
      </c>
      <c r="D240" s="25" t="s">
        <v>162</v>
      </c>
      <c r="E240" s="25" t="s">
        <v>100</v>
      </c>
      <c r="F240" s="52">
        <v>1283.56</v>
      </c>
      <c r="G240" s="56">
        <v>1284</v>
      </c>
      <c r="H240" s="72"/>
    </row>
    <row r="241" spans="1:8">
      <c r="A241" s="25" t="s">
        <v>659</v>
      </c>
      <c r="B241" s="25" t="s">
        <v>660</v>
      </c>
      <c r="C241" s="25" t="s">
        <v>156</v>
      </c>
      <c r="D241" s="25" t="s">
        <v>162</v>
      </c>
      <c r="E241" s="25" t="s">
        <v>100</v>
      </c>
      <c r="F241" s="52">
        <v>1489052.83</v>
      </c>
      <c r="G241" s="56">
        <v>1489053</v>
      </c>
      <c r="H241" s="72"/>
    </row>
    <row r="242" spans="1:8">
      <c r="A242" s="25" t="s">
        <v>661</v>
      </c>
      <c r="B242" s="25" t="s">
        <v>662</v>
      </c>
      <c r="C242" s="25" t="s">
        <v>156</v>
      </c>
      <c r="D242" s="25" t="s">
        <v>162</v>
      </c>
      <c r="E242" s="25" t="s">
        <v>100</v>
      </c>
      <c r="F242" s="52">
        <v>1000</v>
      </c>
      <c r="G242" s="56">
        <v>1000</v>
      </c>
      <c r="H242" s="72"/>
    </row>
    <row r="243" spans="1:8">
      <c r="A243" s="25" t="s">
        <v>663</v>
      </c>
      <c r="B243" s="25" t="s">
        <v>664</v>
      </c>
      <c r="C243" s="25" t="s">
        <v>156</v>
      </c>
      <c r="D243" s="25" t="s">
        <v>162</v>
      </c>
      <c r="E243" s="25" t="s">
        <v>100</v>
      </c>
      <c r="F243" s="52">
        <v>1057162.6299999999</v>
      </c>
      <c r="G243" s="56">
        <v>1057163</v>
      </c>
      <c r="H243" s="72"/>
    </row>
    <row r="244" spans="1:8">
      <c r="A244" s="25" t="s">
        <v>665</v>
      </c>
      <c r="B244" s="25" t="s">
        <v>666</v>
      </c>
      <c r="C244" s="25" t="s">
        <v>156</v>
      </c>
      <c r="D244" s="25" t="s">
        <v>162</v>
      </c>
      <c r="E244" s="25" t="s">
        <v>100</v>
      </c>
      <c r="F244" s="52">
        <v>153098.99</v>
      </c>
      <c r="G244" s="56">
        <v>153099</v>
      </c>
      <c r="H244" s="72"/>
    </row>
    <row r="245" spans="1:8">
      <c r="A245" s="25" t="s">
        <v>667</v>
      </c>
      <c r="B245" s="25" t="s">
        <v>220</v>
      </c>
      <c r="C245" s="25" t="s">
        <v>156</v>
      </c>
      <c r="D245" s="25" t="s">
        <v>162</v>
      </c>
      <c r="E245" s="25" t="s">
        <v>100</v>
      </c>
      <c r="F245" s="52">
        <v>31026.880000000001</v>
      </c>
      <c r="G245" s="56">
        <v>31027</v>
      </c>
      <c r="H245" s="72"/>
    </row>
    <row r="246" spans="1:8">
      <c r="A246" s="25" t="s">
        <v>2253</v>
      </c>
      <c r="B246" s="25" t="s">
        <v>1586</v>
      </c>
      <c r="C246" s="25" t="s">
        <v>156</v>
      </c>
      <c r="D246" s="53" t="s">
        <v>169</v>
      </c>
      <c r="E246" s="53" t="s">
        <v>2254</v>
      </c>
      <c r="F246" s="54">
        <v>-713240.84</v>
      </c>
      <c r="G246" s="57">
        <f>SUM(G231:G245)</f>
        <v>-713240</v>
      </c>
      <c r="H246" s="72"/>
    </row>
    <row r="247" spans="1:8">
      <c r="A247" s="25" t="s">
        <v>2255</v>
      </c>
      <c r="B247" s="25" t="s">
        <v>2256</v>
      </c>
      <c r="C247" s="25" t="s">
        <v>156</v>
      </c>
      <c r="D247" s="53" t="s">
        <v>157</v>
      </c>
      <c r="E247" s="53" t="s">
        <v>100</v>
      </c>
      <c r="F247" s="54">
        <v>0</v>
      </c>
      <c r="G247" s="56"/>
      <c r="H247" s="72"/>
    </row>
    <row r="248" spans="1:8">
      <c r="A248" s="25" t="s">
        <v>668</v>
      </c>
      <c r="B248" s="25" t="s">
        <v>669</v>
      </c>
      <c r="C248" s="25" t="s">
        <v>156</v>
      </c>
      <c r="D248" s="25" t="s">
        <v>162</v>
      </c>
      <c r="E248" s="25" t="s">
        <v>100</v>
      </c>
      <c r="F248" s="52">
        <v>745227.45</v>
      </c>
      <c r="G248" s="56">
        <v>745227</v>
      </c>
      <c r="H248" s="72"/>
    </row>
    <row r="249" spans="1:8">
      <c r="A249" s="25" t="s">
        <v>670</v>
      </c>
      <c r="B249" s="25" t="s">
        <v>671</v>
      </c>
      <c r="C249" s="25" t="s">
        <v>156</v>
      </c>
      <c r="D249" s="25" t="s">
        <v>162</v>
      </c>
      <c r="E249" s="25" t="s">
        <v>100</v>
      </c>
      <c r="F249" s="52">
        <v>0</v>
      </c>
      <c r="G249" s="56">
        <v>0</v>
      </c>
      <c r="H249" s="72"/>
    </row>
    <row r="250" spans="1:8">
      <c r="A250" s="25" t="s">
        <v>2166</v>
      </c>
      <c r="B250" s="25" t="s">
        <v>2167</v>
      </c>
      <c r="C250" s="25" t="s">
        <v>156</v>
      </c>
      <c r="D250" s="53" t="s">
        <v>169</v>
      </c>
      <c r="E250" s="53" t="s">
        <v>2257</v>
      </c>
      <c r="F250" s="54">
        <v>745227.45</v>
      </c>
      <c r="G250" s="57">
        <f>SUM(G248:G249)</f>
        <v>745227</v>
      </c>
      <c r="H250" s="72"/>
    </row>
    <row r="251" spans="1:8">
      <c r="A251" s="25" t="s">
        <v>672</v>
      </c>
      <c r="B251" s="25" t="s">
        <v>673</v>
      </c>
      <c r="C251" s="25" t="s">
        <v>156</v>
      </c>
      <c r="D251" s="53" t="s">
        <v>169</v>
      </c>
      <c r="E251" s="53" t="s">
        <v>2169</v>
      </c>
      <c r="F251" s="54">
        <v>31986.61</v>
      </c>
      <c r="G251" s="57">
        <f>+G250+G246</f>
        <v>31987</v>
      </c>
      <c r="H251" s="72"/>
    </row>
    <row r="252" spans="1:8">
      <c r="A252" s="25" t="s">
        <v>675</v>
      </c>
      <c r="B252" s="25" t="s">
        <v>676</v>
      </c>
      <c r="C252" s="25" t="s">
        <v>156</v>
      </c>
      <c r="D252" s="53" t="s">
        <v>157</v>
      </c>
      <c r="E252" s="53" t="s">
        <v>100</v>
      </c>
      <c r="F252" s="54">
        <v>0</v>
      </c>
      <c r="G252" s="56"/>
      <c r="H252" s="72"/>
    </row>
    <row r="253" spans="1:8">
      <c r="A253" s="25" t="s">
        <v>677</v>
      </c>
      <c r="B253" s="25" t="s">
        <v>678</v>
      </c>
      <c r="C253" s="25" t="s">
        <v>156</v>
      </c>
      <c r="D253" s="25" t="s">
        <v>162</v>
      </c>
      <c r="E253" s="25" t="s">
        <v>100</v>
      </c>
      <c r="F253" s="52">
        <v>0</v>
      </c>
      <c r="G253" s="56">
        <v>0</v>
      </c>
      <c r="H253" s="72"/>
    </row>
    <row r="254" spans="1:8">
      <c r="A254" s="25" t="s">
        <v>679</v>
      </c>
      <c r="B254" s="25" t="s">
        <v>680</v>
      </c>
      <c r="C254" s="25" t="s">
        <v>156</v>
      </c>
      <c r="D254" s="25" t="s">
        <v>162</v>
      </c>
      <c r="E254" s="25" t="s">
        <v>100</v>
      </c>
      <c r="F254" s="52">
        <v>0</v>
      </c>
      <c r="G254" s="56">
        <v>0</v>
      </c>
      <c r="H254" s="72"/>
    </row>
    <row r="255" spans="1:8">
      <c r="A255" s="25" t="s">
        <v>681</v>
      </c>
      <c r="B255" s="25" t="s">
        <v>682</v>
      </c>
      <c r="C255" s="25" t="s">
        <v>156</v>
      </c>
      <c r="D255" s="53" t="s">
        <v>169</v>
      </c>
      <c r="E255" s="53" t="s">
        <v>683</v>
      </c>
      <c r="F255" s="54">
        <v>0</v>
      </c>
      <c r="G255" s="56">
        <f>SUM(G253:G254)</f>
        <v>0</v>
      </c>
      <c r="H255" s="72"/>
    </row>
    <row r="256" spans="1:8">
      <c r="A256" s="25" t="s">
        <v>684</v>
      </c>
      <c r="B256" s="25" t="s">
        <v>685</v>
      </c>
      <c r="C256" s="25" t="s">
        <v>156</v>
      </c>
      <c r="D256" s="53" t="s">
        <v>157</v>
      </c>
      <c r="E256" s="53" t="s">
        <v>100</v>
      </c>
      <c r="F256" s="54">
        <v>0</v>
      </c>
      <c r="G256" s="56"/>
      <c r="H256" s="72"/>
    </row>
    <row r="257" spans="1:8">
      <c r="A257" s="25" t="s">
        <v>686</v>
      </c>
      <c r="B257" s="25" t="s">
        <v>687</v>
      </c>
      <c r="C257" s="25" t="s">
        <v>156</v>
      </c>
      <c r="D257" s="25" t="s">
        <v>162</v>
      </c>
      <c r="E257" s="25" t="s">
        <v>100</v>
      </c>
      <c r="F257" s="52">
        <v>128238.31</v>
      </c>
      <c r="G257" s="56">
        <v>128238</v>
      </c>
      <c r="H257" s="72"/>
    </row>
    <row r="258" spans="1:8">
      <c r="A258" s="25" t="s">
        <v>688</v>
      </c>
      <c r="B258" s="25" t="s">
        <v>689</v>
      </c>
      <c r="C258" s="25" t="s">
        <v>156</v>
      </c>
      <c r="D258" s="25" t="s">
        <v>162</v>
      </c>
      <c r="E258" s="25" t="s">
        <v>100</v>
      </c>
      <c r="F258" s="52">
        <v>2089.38</v>
      </c>
      <c r="G258" s="56">
        <v>2089</v>
      </c>
      <c r="H258" s="72"/>
    </row>
    <row r="259" spans="1:8">
      <c r="A259" s="25" t="s">
        <v>690</v>
      </c>
      <c r="B259" s="25" t="s">
        <v>691</v>
      </c>
      <c r="C259" s="25" t="s">
        <v>156</v>
      </c>
      <c r="D259" s="25" t="s">
        <v>162</v>
      </c>
      <c r="E259" s="25" t="s">
        <v>100</v>
      </c>
      <c r="F259" s="52">
        <v>43466.82</v>
      </c>
      <c r="G259" s="56">
        <v>43467</v>
      </c>
      <c r="H259" s="76">
        <v>-10000</v>
      </c>
    </row>
    <row r="260" spans="1:8">
      <c r="A260" s="25" t="s">
        <v>692</v>
      </c>
      <c r="B260" s="25" t="s">
        <v>693</v>
      </c>
      <c r="C260" s="25" t="s">
        <v>156</v>
      </c>
      <c r="D260" s="25" t="s">
        <v>162</v>
      </c>
      <c r="E260" s="25" t="s">
        <v>100</v>
      </c>
      <c r="F260" s="52">
        <v>4427.05</v>
      </c>
      <c r="G260" s="56">
        <v>4427</v>
      </c>
      <c r="H260" s="72"/>
    </row>
    <row r="261" spans="1:8">
      <c r="A261" s="25" t="s">
        <v>694</v>
      </c>
      <c r="B261" s="25" t="s">
        <v>695</v>
      </c>
      <c r="C261" s="25" t="s">
        <v>156</v>
      </c>
      <c r="D261" s="25" t="s">
        <v>162</v>
      </c>
      <c r="E261" s="25" t="s">
        <v>100</v>
      </c>
      <c r="F261" s="52">
        <v>2209.5</v>
      </c>
      <c r="G261" s="56">
        <v>2210</v>
      </c>
      <c r="H261" s="72"/>
    </row>
    <row r="262" spans="1:8">
      <c r="A262" s="25" t="s">
        <v>696</v>
      </c>
      <c r="B262" s="25" t="s">
        <v>697</v>
      </c>
      <c r="C262" s="25" t="s">
        <v>156</v>
      </c>
      <c r="D262" s="53" t="s">
        <v>169</v>
      </c>
      <c r="E262" s="53" t="s">
        <v>698</v>
      </c>
      <c r="F262" s="54">
        <v>180431.06</v>
      </c>
      <c r="G262" s="57">
        <f>SUM(G257:G261)</f>
        <v>180431</v>
      </c>
      <c r="H262" s="72"/>
    </row>
    <row r="263" spans="1:8">
      <c r="A263" s="25" t="s">
        <v>699</v>
      </c>
      <c r="B263" s="25" t="s">
        <v>700</v>
      </c>
      <c r="C263" s="25" t="s">
        <v>156</v>
      </c>
      <c r="D263" s="53" t="s">
        <v>157</v>
      </c>
      <c r="E263" s="53" t="s">
        <v>100</v>
      </c>
      <c r="F263" s="54">
        <v>0</v>
      </c>
      <c r="G263" s="57"/>
      <c r="H263" s="72"/>
    </row>
    <row r="264" spans="1:8">
      <c r="A264" s="25" t="s">
        <v>701</v>
      </c>
      <c r="B264" s="25" t="s">
        <v>702</v>
      </c>
      <c r="C264" s="25" t="s">
        <v>156</v>
      </c>
      <c r="D264" s="25" t="s">
        <v>162</v>
      </c>
      <c r="E264" s="25" t="s">
        <v>100</v>
      </c>
      <c r="F264" s="52">
        <v>-49650</v>
      </c>
      <c r="G264" s="56">
        <v>-49650</v>
      </c>
      <c r="H264" s="72"/>
    </row>
    <row r="265" spans="1:8">
      <c r="A265" s="25" t="s">
        <v>703</v>
      </c>
      <c r="B265" s="25" t="s">
        <v>704</v>
      </c>
      <c r="C265" s="25" t="s">
        <v>156</v>
      </c>
      <c r="D265" s="25" t="s">
        <v>162</v>
      </c>
      <c r="E265" s="25" t="s">
        <v>100</v>
      </c>
      <c r="F265" s="52">
        <v>0</v>
      </c>
      <c r="G265" s="56">
        <v>0</v>
      </c>
      <c r="H265" s="72"/>
    </row>
    <row r="266" spans="1:8">
      <c r="A266" s="25" t="s">
        <v>705</v>
      </c>
      <c r="B266" s="25" t="s">
        <v>664</v>
      </c>
      <c r="C266" s="25" t="s">
        <v>156</v>
      </c>
      <c r="D266" s="25" t="s">
        <v>162</v>
      </c>
      <c r="E266" s="25" t="s">
        <v>100</v>
      </c>
      <c r="F266" s="52">
        <v>393.9</v>
      </c>
      <c r="G266" s="56">
        <v>394</v>
      </c>
      <c r="H266" s="72"/>
    </row>
    <row r="267" spans="1:8">
      <c r="A267" s="25" t="s">
        <v>706</v>
      </c>
      <c r="B267" s="25" t="s">
        <v>707</v>
      </c>
      <c r="C267" s="25" t="s">
        <v>156</v>
      </c>
      <c r="D267" s="25" t="s">
        <v>162</v>
      </c>
      <c r="E267" s="25" t="s">
        <v>100</v>
      </c>
      <c r="F267" s="52">
        <v>29554</v>
      </c>
      <c r="G267" s="56">
        <v>29554</v>
      </c>
      <c r="H267" s="72"/>
    </row>
    <row r="268" spans="1:8">
      <c r="A268" s="25" t="s">
        <v>708</v>
      </c>
      <c r="B268" s="25" t="s">
        <v>709</v>
      </c>
      <c r="C268" s="25" t="s">
        <v>156</v>
      </c>
      <c r="D268" s="25" t="s">
        <v>162</v>
      </c>
      <c r="E268" s="25" t="s">
        <v>100</v>
      </c>
      <c r="F268" s="52">
        <v>1481.2</v>
      </c>
      <c r="G268" s="56">
        <v>1481</v>
      </c>
      <c r="H268" s="72"/>
    </row>
    <row r="269" spans="1:8">
      <c r="A269" s="25" t="s">
        <v>710</v>
      </c>
      <c r="B269" s="25" t="s">
        <v>711</v>
      </c>
      <c r="C269" s="25" t="s">
        <v>156</v>
      </c>
      <c r="D269" s="25" t="s">
        <v>162</v>
      </c>
      <c r="E269" s="25" t="s">
        <v>100</v>
      </c>
      <c r="F269" s="52">
        <v>27689.5</v>
      </c>
      <c r="G269" s="56">
        <v>27690</v>
      </c>
      <c r="H269" s="72"/>
    </row>
    <row r="270" spans="1:8">
      <c r="A270" s="25" t="s">
        <v>712</v>
      </c>
      <c r="B270" s="25" t="s">
        <v>713</v>
      </c>
      <c r="C270" s="25" t="s">
        <v>156</v>
      </c>
      <c r="D270" s="53" t="s">
        <v>169</v>
      </c>
      <c r="E270" s="53" t="s">
        <v>714</v>
      </c>
      <c r="F270" s="54">
        <v>9468.6</v>
      </c>
      <c r="G270" s="57">
        <f>SUM(G264:G269)</f>
        <v>9469</v>
      </c>
      <c r="H270" s="72"/>
    </row>
    <row r="271" spans="1:8">
      <c r="A271" s="25" t="s">
        <v>715</v>
      </c>
      <c r="B271" s="25" t="s">
        <v>716</v>
      </c>
      <c r="C271" s="25" t="s">
        <v>156</v>
      </c>
      <c r="D271" s="53" t="s">
        <v>169</v>
      </c>
      <c r="E271" s="53" t="s">
        <v>717</v>
      </c>
      <c r="F271" s="54">
        <v>221886.27</v>
      </c>
      <c r="G271" s="57">
        <f>G270+G262+G251+G255</f>
        <v>221887</v>
      </c>
      <c r="H271" s="72"/>
    </row>
    <row r="272" spans="1:8">
      <c r="A272" s="25" t="s">
        <v>718</v>
      </c>
      <c r="B272" s="25" t="s">
        <v>719</v>
      </c>
      <c r="C272" s="25" t="s">
        <v>156</v>
      </c>
      <c r="D272" s="53" t="s">
        <v>157</v>
      </c>
      <c r="E272" s="53" t="s">
        <v>100</v>
      </c>
      <c r="F272" s="54">
        <v>0</v>
      </c>
      <c r="G272" s="57"/>
      <c r="H272" s="72"/>
    </row>
    <row r="273" spans="1:9">
      <c r="A273" s="25" t="s">
        <v>720</v>
      </c>
      <c r="B273" s="25" t="s">
        <v>721</v>
      </c>
      <c r="C273" s="25" t="s">
        <v>156</v>
      </c>
      <c r="D273" s="53" t="s">
        <v>157</v>
      </c>
      <c r="E273" s="53" t="s">
        <v>100</v>
      </c>
      <c r="F273" s="54">
        <v>0</v>
      </c>
      <c r="G273" s="57"/>
      <c r="H273" s="72"/>
    </row>
    <row r="274" spans="1:9">
      <c r="A274" s="25" t="s">
        <v>722</v>
      </c>
      <c r="B274" s="25" t="s">
        <v>723</v>
      </c>
      <c r="C274" s="25" t="s">
        <v>156</v>
      </c>
      <c r="D274" s="25" t="s">
        <v>162</v>
      </c>
      <c r="E274" s="25" t="s">
        <v>100</v>
      </c>
      <c r="F274" s="52">
        <v>1968.31</v>
      </c>
      <c r="G274" s="56">
        <v>1968</v>
      </c>
      <c r="H274" s="76">
        <f>-8333-12240-12725</f>
        <v>-33298</v>
      </c>
      <c r="I274" s="14"/>
    </row>
    <row r="275" spans="1:9">
      <c r="A275" s="25" t="s">
        <v>724</v>
      </c>
      <c r="B275" s="25" t="s">
        <v>725</v>
      </c>
      <c r="C275" s="25" t="s">
        <v>156</v>
      </c>
      <c r="D275" s="25" t="s">
        <v>162</v>
      </c>
      <c r="E275" s="25" t="s">
        <v>100</v>
      </c>
      <c r="F275" s="52">
        <v>-7062.1</v>
      </c>
      <c r="G275" s="56">
        <v>-7062</v>
      </c>
      <c r="H275" s="72"/>
    </row>
    <row r="276" spans="1:9">
      <c r="A276" s="25" t="s">
        <v>726</v>
      </c>
      <c r="B276" s="25" t="s">
        <v>757</v>
      </c>
      <c r="C276" s="25" t="s">
        <v>156</v>
      </c>
      <c r="D276" s="25" t="s">
        <v>162</v>
      </c>
      <c r="E276" s="25" t="s">
        <v>100</v>
      </c>
      <c r="F276" s="52">
        <v>0</v>
      </c>
      <c r="G276" s="56">
        <v>0</v>
      </c>
      <c r="H276" s="76">
        <v>-120115</v>
      </c>
    </row>
    <row r="277" spans="1:9">
      <c r="A277" s="25" t="s">
        <v>728</v>
      </c>
      <c r="B277" s="25" t="s">
        <v>729</v>
      </c>
      <c r="C277" s="25" t="s">
        <v>156</v>
      </c>
      <c r="D277" s="25" t="s">
        <v>162</v>
      </c>
      <c r="E277" s="25" t="s">
        <v>100</v>
      </c>
      <c r="F277" s="52">
        <v>181193.60000000001</v>
      </c>
      <c r="G277" s="56">
        <v>181194</v>
      </c>
      <c r="H277" s="72"/>
    </row>
    <row r="278" spans="1:9">
      <c r="A278" s="25" t="s">
        <v>730</v>
      </c>
      <c r="B278" s="25" t="s">
        <v>731</v>
      </c>
      <c r="C278" s="25" t="s">
        <v>156</v>
      </c>
      <c r="D278" s="25" t="s">
        <v>162</v>
      </c>
      <c r="E278" s="25" t="s">
        <v>100</v>
      </c>
      <c r="F278" s="52">
        <v>6046.82</v>
      </c>
      <c r="G278" s="56">
        <v>6047</v>
      </c>
      <c r="H278" s="72"/>
      <c r="I278" s="14"/>
    </row>
    <row r="279" spans="1:9">
      <c r="A279" s="25" t="s">
        <v>732</v>
      </c>
      <c r="B279" s="25" t="s">
        <v>733</v>
      </c>
      <c r="C279" s="25" t="s">
        <v>156</v>
      </c>
      <c r="D279" s="25" t="s">
        <v>162</v>
      </c>
      <c r="E279" s="25" t="s">
        <v>100</v>
      </c>
      <c r="F279" s="52">
        <v>758859.25</v>
      </c>
      <c r="G279" s="56">
        <v>758859</v>
      </c>
      <c r="H279" s="76">
        <f>8333+12240+12725</f>
        <v>33298</v>
      </c>
      <c r="I279" s="14"/>
    </row>
    <row r="280" spans="1:9">
      <c r="A280" s="25" t="s">
        <v>734</v>
      </c>
      <c r="B280" s="25" t="s">
        <v>735</v>
      </c>
      <c r="C280" s="25" t="s">
        <v>156</v>
      </c>
      <c r="D280" s="25" t="s">
        <v>162</v>
      </c>
      <c r="E280" s="25" t="s">
        <v>100</v>
      </c>
      <c r="F280" s="52">
        <v>278693.08</v>
      </c>
      <c r="G280" s="56">
        <v>278693</v>
      </c>
      <c r="H280" s="72">
        <v>47306</v>
      </c>
      <c r="I280" s="14"/>
    </row>
    <row r="281" spans="1:9">
      <c r="A281" s="25" t="s">
        <v>736</v>
      </c>
      <c r="B281" s="25" t="s">
        <v>737</v>
      </c>
      <c r="C281" s="25" t="s">
        <v>156</v>
      </c>
      <c r="D281" s="25" t="s">
        <v>162</v>
      </c>
      <c r="E281" s="25" t="s">
        <v>100</v>
      </c>
      <c r="F281" s="52">
        <v>14361.89</v>
      </c>
      <c r="G281" s="56">
        <v>14362</v>
      </c>
      <c r="H281" s="72"/>
      <c r="I281" s="14"/>
    </row>
    <row r="282" spans="1:9">
      <c r="A282" s="25" t="s">
        <v>738</v>
      </c>
      <c r="B282" s="25" t="s">
        <v>739</v>
      </c>
      <c r="C282" s="25" t="s">
        <v>156</v>
      </c>
      <c r="D282" s="25" t="s">
        <v>162</v>
      </c>
      <c r="E282" s="25" t="s">
        <v>100</v>
      </c>
      <c r="F282" s="52">
        <v>78</v>
      </c>
      <c r="G282" s="56">
        <v>78</v>
      </c>
      <c r="H282" s="72"/>
      <c r="I282" s="14"/>
    </row>
    <row r="283" spans="1:9">
      <c r="A283" s="25" t="s">
        <v>740</v>
      </c>
      <c r="B283" s="25" t="s">
        <v>741</v>
      </c>
      <c r="C283" s="25" t="s">
        <v>156</v>
      </c>
      <c r="D283" s="25" t="s">
        <v>162</v>
      </c>
      <c r="E283" s="25" t="s">
        <v>100</v>
      </c>
      <c r="F283" s="52">
        <v>37935.71</v>
      </c>
      <c r="G283" s="56">
        <v>37936</v>
      </c>
      <c r="H283" s="72"/>
      <c r="I283" s="14"/>
    </row>
    <row r="284" spans="1:9">
      <c r="A284" s="25" t="s">
        <v>742</v>
      </c>
      <c r="B284" s="25" t="s">
        <v>743</v>
      </c>
      <c r="C284" s="25" t="s">
        <v>156</v>
      </c>
      <c r="D284" s="25" t="s">
        <v>162</v>
      </c>
      <c r="E284" s="25" t="s">
        <v>100</v>
      </c>
      <c r="F284" s="52">
        <v>526.25</v>
      </c>
      <c r="G284" s="56">
        <v>526</v>
      </c>
      <c r="H284" s="72"/>
      <c r="I284" s="14"/>
    </row>
    <row r="285" spans="1:9">
      <c r="A285" s="25" t="s">
        <v>744</v>
      </c>
      <c r="B285" s="25" t="s">
        <v>536</v>
      </c>
      <c r="C285" s="25" t="s">
        <v>156</v>
      </c>
      <c r="D285" s="25" t="s">
        <v>162</v>
      </c>
      <c r="E285" s="25" t="s">
        <v>100</v>
      </c>
      <c r="F285" s="52">
        <v>18233.59</v>
      </c>
      <c r="G285" s="56">
        <v>18233</v>
      </c>
      <c r="H285" s="72"/>
      <c r="I285" s="14"/>
    </row>
    <row r="286" spans="1:9">
      <c r="A286" s="25" t="s">
        <v>745</v>
      </c>
      <c r="B286" s="25" t="s">
        <v>2200</v>
      </c>
      <c r="C286" s="25" t="s">
        <v>156</v>
      </c>
      <c r="D286" s="25" t="s">
        <v>162</v>
      </c>
      <c r="E286" s="25" t="s">
        <v>100</v>
      </c>
      <c r="F286" s="52">
        <v>0</v>
      </c>
      <c r="G286" s="56">
        <v>0</v>
      </c>
      <c r="H286" s="72"/>
    </row>
    <row r="287" spans="1:9">
      <c r="A287" s="25" t="s">
        <v>747</v>
      </c>
      <c r="B287" s="25" t="s">
        <v>748</v>
      </c>
      <c r="C287" s="25" t="s">
        <v>156</v>
      </c>
      <c r="D287" s="25" t="s">
        <v>162</v>
      </c>
      <c r="E287" s="25" t="s">
        <v>100</v>
      </c>
      <c r="F287" s="52">
        <v>112000</v>
      </c>
      <c r="G287" s="56">
        <v>112000</v>
      </c>
      <c r="H287" s="72"/>
      <c r="I287" s="14"/>
    </row>
    <row r="288" spans="1:9">
      <c r="A288" s="25" t="s">
        <v>749</v>
      </c>
      <c r="B288" s="25" t="s">
        <v>2201</v>
      </c>
      <c r="C288" s="25" t="s">
        <v>156</v>
      </c>
      <c r="D288" s="25" t="s">
        <v>162</v>
      </c>
      <c r="E288" s="25" t="s">
        <v>100</v>
      </c>
      <c r="F288" s="52">
        <v>42820</v>
      </c>
      <c r="G288" s="56">
        <v>42820</v>
      </c>
      <c r="H288" s="72"/>
      <c r="I288" s="14"/>
    </row>
    <row r="289" spans="1:9">
      <c r="A289" s="25" t="s">
        <v>751</v>
      </c>
      <c r="B289" s="25" t="s">
        <v>752</v>
      </c>
      <c r="C289" s="25" t="s">
        <v>156</v>
      </c>
      <c r="D289" s="25" t="s">
        <v>162</v>
      </c>
      <c r="E289" s="25" t="s">
        <v>100</v>
      </c>
      <c r="F289" s="52">
        <v>0</v>
      </c>
      <c r="G289" s="56">
        <v>0</v>
      </c>
      <c r="H289" s="72">
        <f>3750+9000</f>
        <v>12750</v>
      </c>
      <c r="I289" s="14"/>
    </row>
    <row r="290" spans="1:9">
      <c r="A290" s="25" t="s">
        <v>753</v>
      </c>
      <c r="B290" s="25" t="s">
        <v>220</v>
      </c>
      <c r="C290" s="25" t="s">
        <v>156</v>
      </c>
      <c r="D290" s="25" t="s">
        <v>162</v>
      </c>
      <c r="E290" s="25" t="s">
        <v>100</v>
      </c>
      <c r="F290" s="52">
        <v>11965.44</v>
      </c>
      <c r="G290" s="56">
        <v>11965</v>
      </c>
      <c r="H290" s="72">
        <v>-3750</v>
      </c>
    </row>
    <row r="291" spans="1:9">
      <c r="A291" s="25" t="s">
        <v>754</v>
      </c>
      <c r="B291" s="25" t="s">
        <v>755</v>
      </c>
      <c r="C291" s="25" t="s">
        <v>156</v>
      </c>
      <c r="D291" s="25" t="s">
        <v>162</v>
      </c>
      <c r="E291" s="25" t="s">
        <v>100</v>
      </c>
      <c r="F291" s="52">
        <v>-59.4</v>
      </c>
      <c r="G291" s="56">
        <v>-59</v>
      </c>
      <c r="H291" s="72"/>
    </row>
    <row r="292" spans="1:9">
      <c r="A292" s="25" t="s">
        <v>756</v>
      </c>
      <c r="B292" s="25" t="s">
        <v>1533</v>
      </c>
      <c r="C292" s="25" t="s">
        <v>156</v>
      </c>
      <c r="D292" s="25" t="s">
        <v>162</v>
      </c>
      <c r="E292" s="25" t="s">
        <v>100</v>
      </c>
      <c r="F292" s="52">
        <v>0</v>
      </c>
      <c r="G292" s="56">
        <v>0</v>
      </c>
      <c r="H292" s="72"/>
      <c r="I292" s="3">
        <f>+G275+H276+G290+G291</f>
        <v>-115271</v>
      </c>
    </row>
    <row r="293" spans="1:9">
      <c r="A293" s="25" t="s">
        <v>758</v>
      </c>
      <c r="B293" s="25" t="s">
        <v>759</v>
      </c>
      <c r="C293" s="25" t="s">
        <v>156</v>
      </c>
      <c r="D293" s="53" t="s">
        <v>169</v>
      </c>
      <c r="E293" s="53" t="s">
        <v>760</v>
      </c>
      <c r="F293" s="54">
        <v>1457560.44</v>
      </c>
      <c r="G293" s="57">
        <f>SUM(G274:G292)</f>
        <v>1457560</v>
      </c>
      <c r="H293" s="72"/>
    </row>
    <row r="294" spans="1:9">
      <c r="A294" s="25" t="s">
        <v>761</v>
      </c>
      <c r="B294" s="25" t="s">
        <v>762</v>
      </c>
      <c r="C294" s="25" t="s">
        <v>156</v>
      </c>
      <c r="D294" s="53" t="s">
        <v>157</v>
      </c>
      <c r="E294" s="53" t="s">
        <v>100</v>
      </c>
      <c r="F294" s="54">
        <v>0</v>
      </c>
      <c r="G294" s="57"/>
      <c r="H294" s="72"/>
    </row>
    <row r="295" spans="1:9">
      <c r="A295" s="25" t="s">
        <v>763</v>
      </c>
      <c r="B295" s="25" t="s">
        <v>764</v>
      </c>
      <c r="C295" s="25" t="s">
        <v>156</v>
      </c>
      <c r="D295" s="25" t="s">
        <v>162</v>
      </c>
      <c r="E295" s="25" t="s">
        <v>100</v>
      </c>
      <c r="F295" s="52">
        <v>218500.28</v>
      </c>
      <c r="G295" s="56">
        <v>218500</v>
      </c>
      <c r="H295" s="72"/>
    </row>
    <row r="296" spans="1:9">
      <c r="A296" s="25" t="s">
        <v>765</v>
      </c>
      <c r="B296" s="25" t="s">
        <v>766</v>
      </c>
      <c r="C296" s="25" t="s">
        <v>156</v>
      </c>
      <c r="D296" s="25" t="s">
        <v>162</v>
      </c>
      <c r="E296" s="25" t="s">
        <v>100</v>
      </c>
      <c r="F296" s="52">
        <v>0</v>
      </c>
      <c r="G296" s="56">
        <v>0</v>
      </c>
      <c r="H296" s="72"/>
    </row>
    <row r="297" spans="1:9">
      <c r="A297" s="25" t="s">
        <v>767</v>
      </c>
      <c r="B297" s="25" t="s">
        <v>768</v>
      </c>
      <c r="C297" s="25" t="s">
        <v>156</v>
      </c>
      <c r="D297" s="25" t="s">
        <v>162</v>
      </c>
      <c r="E297" s="25" t="s">
        <v>100</v>
      </c>
      <c r="F297" s="52">
        <v>90256.82</v>
      </c>
      <c r="G297" s="56">
        <v>90257</v>
      </c>
      <c r="H297" s="72"/>
    </row>
    <row r="298" spans="1:9">
      <c r="A298" s="25" t="s">
        <v>769</v>
      </c>
      <c r="B298" s="25" t="s">
        <v>770</v>
      </c>
      <c r="C298" s="25" t="s">
        <v>156</v>
      </c>
      <c r="D298" s="25" t="s">
        <v>162</v>
      </c>
      <c r="E298" s="25" t="s">
        <v>100</v>
      </c>
      <c r="F298" s="52">
        <v>-804.85</v>
      </c>
      <c r="G298" s="56">
        <v>-805</v>
      </c>
      <c r="H298" s="72"/>
    </row>
    <row r="299" spans="1:9">
      <c r="A299" s="25" t="s">
        <v>771</v>
      </c>
      <c r="B299" s="25" t="s">
        <v>772</v>
      </c>
      <c r="C299" s="25" t="s">
        <v>156</v>
      </c>
      <c r="D299" s="25" t="s">
        <v>162</v>
      </c>
      <c r="E299" s="25" t="s">
        <v>100</v>
      </c>
      <c r="F299" s="52">
        <v>-480</v>
      </c>
      <c r="G299" s="56">
        <v>-480</v>
      </c>
      <c r="H299" s="72"/>
    </row>
    <row r="300" spans="1:9">
      <c r="A300" s="25" t="s">
        <v>773</v>
      </c>
      <c r="B300" s="25" t="s">
        <v>774</v>
      </c>
      <c r="C300" s="25" t="s">
        <v>156</v>
      </c>
      <c r="D300" s="25" t="s">
        <v>162</v>
      </c>
      <c r="E300" s="25" t="s">
        <v>100</v>
      </c>
      <c r="F300" s="52">
        <v>0</v>
      </c>
      <c r="G300" s="56">
        <v>0</v>
      </c>
      <c r="H300" s="72"/>
    </row>
    <row r="301" spans="1:9">
      <c r="A301" s="25" t="s">
        <v>775</v>
      </c>
      <c r="B301" s="25" t="s">
        <v>776</v>
      </c>
      <c r="C301" s="25" t="s">
        <v>156</v>
      </c>
      <c r="D301" s="53" t="s">
        <v>169</v>
      </c>
      <c r="E301" s="53" t="s">
        <v>777</v>
      </c>
      <c r="F301" s="54">
        <v>307472.25</v>
      </c>
      <c r="G301" s="57">
        <f>SUM(G295:G300)</f>
        <v>307472</v>
      </c>
      <c r="H301" s="72"/>
    </row>
    <row r="302" spans="1:9">
      <c r="A302" s="25" t="s">
        <v>778</v>
      </c>
      <c r="B302" s="25" t="s">
        <v>779</v>
      </c>
      <c r="C302" s="25" t="s">
        <v>156</v>
      </c>
      <c r="D302" s="53" t="s">
        <v>157</v>
      </c>
      <c r="E302" s="53" t="s">
        <v>100</v>
      </c>
      <c r="F302" s="54">
        <v>0</v>
      </c>
      <c r="G302" s="57"/>
      <c r="H302" s="72"/>
    </row>
    <row r="303" spans="1:9">
      <c r="A303" s="25" t="s">
        <v>780</v>
      </c>
      <c r="B303" s="25" t="s">
        <v>781</v>
      </c>
      <c r="C303" s="25" t="s">
        <v>156</v>
      </c>
      <c r="D303" s="25" t="s">
        <v>162</v>
      </c>
      <c r="E303" s="25" t="s">
        <v>100</v>
      </c>
      <c r="F303" s="52">
        <v>123400.6</v>
      </c>
      <c r="G303" s="56">
        <v>123401</v>
      </c>
      <c r="H303" s="72"/>
    </row>
    <row r="304" spans="1:9">
      <c r="A304" s="25" t="s">
        <v>782</v>
      </c>
      <c r="B304" s="25" t="s">
        <v>446</v>
      </c>
      <c r="C304" s="25" t="s">
        <v>156</v>
      </c>
      <c r="D304" s="25" t="s">
        <v>162</v>
      </c>
      <c r="E304" s="25" t="s">
        <v>100</v>
      </c>
      <c r="F304" s="52">
        <v>66196.23</v>
      </c>
      <c r="G304" s="56">
        <v>66196</v>
      </c>
      <c r="H304" s="72"/>
    </row>
    <row r="305" spans="1:9">
      <c r="A305" s="25" t="s">
        <v>783</v>
      </c>
      <c r="B305" s="25" t="s">
        <v>784</v>
      </c>
      <c r="C305" s="25" t="s">
        <v>156</v>
      </c>
      <c r="D305" s="25" t="s">
        <v>162</v>
      </c>
      <c r="E305" s="25" t="s">
        <v>100</v>
      </c>
      <c r="F305" s="52">
        <v>0</v>
      </c>
      <c r="G305" s="56">
        <v>0</v>
      </c>
      <c r="H305" s="72"/>
    </row>
    <row r="306" spans="1:9">
      <c r="A306" s="25" t="s">
        <v>785</v>
      </c>
      <c r="B306" s="25" t="s">
        <v>786</v>
      </c>
      <c r="C306" s="25" t="s">
        <v>156</v>
      </c>
      <c r="D306" s="53" t="s">
        <v>169</v>
      </c>
      <c r="E306" s="53" t="s">
        <v>787</v>
      </c>
      <c r="F306" s="54">
        <v>189596.83</v>
      </c>
      <c r="G306" s="57">
        <f>SUM(G303:G305)</f>
        <v>189597</v>
      </c>
      <c r="H306" s="72"/>
    </row>
    <row r="307" spans="1:9">
      <c r="A307" s="25" t="s">
        <v>788</v>
      </c>
      <c r="B307" s="25" t="s">
        <v>817</v>
      </c>
      <c r="C307" s="25" t="s">
        <v>156</v>
      </c>
      <c r="D307" s="53" t="s">
        <v>157</v>
      </c>
      <c r="E307" s="53" t="s">
        <v>100</v>
      </c>
      <c r="F307" s="54">
        <v>0</v>
      </c>
      <c r="G307" s="57"/>
      <c r="H307" s="72"/>
    </row>
    <row r="308" spans="1:9">
      <c r="A308" s="25" t="s">
        <v>2258</v>
      </c>
      <c r="B308" s="25" t="s">
        <v>819</v>
      </c>
      <c r="C308" s="25" t="s">
        <v>156</v>
      </c>
      <c r="D308" s="25" t="s">
        <v>162</v>
      </c>
      <c r="E308" s="25" t="s">
        <v>100</v>
      </c>
      <c r="F308" s="52">
        <v>60000</v>
      </c>
      <c r="G308" s="56">
        <v>60000</v>
      </c>
      <c r="H308" s="72"/>
    </row>
    <row r="309" spans="1:9">
      <c r="A309" s="25" t="s">
        <v>2259</v>
      </c>
      <c r="B309" s="25" t="s">
        <v>821</v>
      </c>
      <c r="C309" s="25" t="s">
        <v>156</v>
      </c>
      <c r="D309" s="53" t="s">
        <v>169</v>
      </c>
      <c r="E309" s="53" t="s">
        <v>2260</v>
      </c>
      <c r="F309" s="54">
        <v>60000</v>
      </c>
      <c r="G309" s="57">
        <f>SUM(G308)</f>
        <v>60000</v>
      </c>
      <c r="H309" s="72"/>
    </row>
    <row r="310" spans="1:9">
      <c r="A310" s="25" t="s">
        <v>790</v>
      </c>
      <c r="B310" s="25" t="s">
        <v>824</v>
      </c>
      <c r="C310" s="25" t="s">
        <v>156</v>
      </c>
      <c r="D310" s="53" t="s">
        <v>157</v>
      </c>
      <c r="E310" s="53" t="s">
        <v>100</v>
      </c>
      <c r="F310" s="54">
        <v>0</v>
      </c>
      <c r="G310" s="56"/>
      <c r="H310" s="72"/>
    </row>
    <row r="311" spans="1:9">
      <c r="A311" s="25" t="s">
        <v>791</v>
      </c>
      <c r="B311" s="25" t="s">
        <v>826</v>
      </c>
      <c r="C311" s="25" t="s">
        <v>156</v>
      </c>
      <c r="D311" s="25" t="s">
        <v>162</v>
      </c>
      <c r="E311" s="25" t="s">
        <v>100</v>
      </c>
      <c r="F311" s="52">
        <v>9187.2000000000007</v>
      </c>
      <c r="G311" s="56">
        <v>9187</v>
      </c>
      <c r="H311" s="72"/>
    </row>
    <row r="312" spans="1:9">
      <c r="A312" s="25" t="s">
        <v>805</v>
      </c>
      <c r="B312" s="25" t="s">
        <v>828</v>
      </c>
      <c r="C312" s="25" t="s">
        <v>156</v>
      </c>
      <c r="D312" s="53" t="s">
        <v>169</v>
      </c>
      <c r="E312" s="53" t="s">
        <v>807</v>
      </c>
      <c r="F312" s="54">
        <v>9187.2000000000007</v>
      </c>
      <c r="G312" s="57">
        <f>SUM(G311)</f>
        <v>9187</v>
      </c>
      <c r="H312" s="72"/>
    </row>
    <row r="313" spans="1:9">
      <c r="A313" s="25" t="s">
        <v>830</v>
      </c>
      <c r="B313" s="25" t="s">
        <v>831</v>
      </c>
      <c r="C313" s="25" t="s">
        <v>156</v>
      </c>
      <c r="D313" s="53" t="s">
        <v>169</v>
      </c>
      <c r="E313" s="53" t="s">
        <v>832</v>
      </c>
      <c r="F313" s="54">
        <v>2023816.72</v>
      </c>
      <c r="G313" s="57">
        <f>+G312+G309+G306+G301+G293</f>
        <v>2023816</v>
      </c>
      <c r="H313" s="72"/>
    </row>
    <row r="314" spans="1:9">
      <c r="A314" s="25" t="s">
        <v>841</v>
      </c>
      <c r="B314" s="25" t="s">
        <v>842</v>
      </c>
      <c r="C314" s="25" t="s">
        <v>156</v>
      </c>
      <c r="D314" s="53" t="s">
        <v>169</v>
      </c>
      <c r="E314" s="53" t="s">
        <v>843</v>
      </c>
      <c r="F314" s="54">
        <v>15232304.35</v>
      </c>
      <c r="G314" s="57">
        <f>+G313+G271+G227+G146+G132+G90</f>
        <v>15232304</v>
      </c>
      <c r="H314" s="72"/>
    </row>
    <row r="315" spans="1:9">
      <c r="A315" s="25" t="s">
        <v>2261</v>
      </c>
      <c r="B315" s="25" t="s">
        <v>2262</v>
      </c>
      <c r="C315" s="25" t="s">
        <v>156</v>
      </c>
      <c r="D315" s="53" t="s">
        <v>169</v>
      </c>
      <c r="E315" s="53" t="s">
        <v>2263</v>
      </c>
      <c r="F315" s="54">
        <v>15232304.35</v>
      </c>
      <c r="G315" s="57"/>
      <c r="H315" s="72"/>
    </row>
    <row r="316" spans="1:9">
      <c r="A316" s="25" t="s">
        <v>844</v>
      </c>
      <c r="B316" s="25" t="s">
        <v>845</v>
      </c>
      <c r="C316" s="25" t="s">
        <v>156</v>
      </c>
      <c r="D316" s="53" t="s">
        <v>157</v>
      </c>
      <c r="E316" s="53" t="s">
        <v>100</v>
      </c>
      <c r="F316" s="54">
        <v>0</v>
      </c>
      <c r="G316" s="57"/>
      <c r="H316" s="72"/>
    </row>
    <row r="317" spans="1:9">
      <c r="A317" s="25" t="s">
        <v>846</v>
      </c>
      <c r="B317" s="25" t="s">
        <v>847</v>
      </c>
      <c r="C317" s="25" t="s">
        <v>156</v>
      </c>
      <c r="D317" s="25" t="s">
        <v>162</v>
      </c>
      <c r="E317" s="25" t="s">
        <v>100</v>
      </c>
      <c r="F317" s="52">
        <v>472966.56</v>
      </c>
      <c r="G317" s="56">
        <v>472967</v>
      </c>
      <c r="H317" s="72">
        <f>-65010</f>
        <v>-65010</v>
      </c>
      <c r="I317" s="3">
        <f>+G317-H317</f>
        <v>537977</v>
      </c>
    </row>
    <row r="318" spans="1:9">
      <c r="A318" s="25" t="s">
        <v>848</v>
      </c>
      <c r="B318" s="25" t="s">
        <v>849</v>
      </c>
      <c r="C318" s="25" t="s">
        <v>156</v>
      </c>
      <c r="D318" s="25" t="s">
        <v>162</v>
      </c>
      <c r="E318" s="25" t="s">
        <v>100</v>
      </c>
      <c r="F318" s="52">
        <v>0</v>
      </c>
      <c r="G318" s="56">
        <v>0</v>
      </c>
      <c r="H318" s="72"/>
    </row>
    <row r="319" spans="1:9">
      <c r="A319" s="25" t="s">
        <v>850</v>
      </c>
      <c r="B319" s="25" t="s">
        <v>851</v>
      </c>
      <c r="C319" s="25" t="s">
        <v>156</v>
      </c>
      <c r="D319" s="53" t="s">
        <v>169</v>
      </c>
      <c r="E319" s="53" t="s">
        <v>852</v>
      </c>
      <c r="F319" s="54">
        <v>472966.56</v>
      </c>
      <c r="G319" s="57">
        <f>SUM(G317:G318)</f>
        <v>472967</v>
      </c>
      <c r="H319" s="72"/>
    </row>
    <row r="320" spans="1:9">
      <c r="A320" s="25" t="s">
        <v>853</v>
      </c>
      <c r="B320" s="25" t="s">
        <v>854</v>
      </c>
      <c r="C320" s="25" t="s">
        <v>156</v>
      </c>
      <c r="D320" s="53" t="s">
        <v>157</v>
      </c>
      <c r="E320" s="53" t="s">
        <v>100</v>
      </c>
      <c r="F320" s="54">
        <v>0</v>
      </c>
      <c r="G320" s="56"/>
      <c r="H320" s="72"/>
    </row>
    <row r="321" spans="1:12">
      <c r="A321" s="25" t="s">
        <v>855</v>
      </c>
      <c r="B321" s="25" t="s">
        <v>856</v>
      </c>
      <c r="C321" s="25" t="s">
        <v>156</v>
      </c>
      <c r="D321" s="25" t="s">
        <v>162</v>
      </c>
      <c r="E321" s="25" t="s">
        <v>100</v>
      </c>
      <c r="F321" s="52">
        <v>0</v>
      </c>
      <c r="G321" s="56">
        <v>0</v>
      </c>
      <c r="H321" s="72"/>
    </row>
    <row r="322" spans="1:12">
      <c r="A322" s="25" t="s">
        <v>857</v>
      </c>
      <c r="B322" s="25" t="s">
        <v>2170</v>
      </c>
      <c r="C322" s="25" t="s">
        <v>156</v>
      </c>
      <c r="D322" s="25" t="s">
        <v>162</v>
      </c>
      <c r="E322" s="25" t="s">
        <v>100</v>
      </c>
      <c r="F322" s="52">
        <v>0</v>
      </c>
      <c r="G322" s="56">
        <v>0</v>
      </c>
      <c r="H322" s="72"/>
    </row>
    <row r="323" spans="1:12">
      <c r="A323" s="25" t="s">
        <v>859</v>
      </c>
      <c r="B323" s="25" t="s">
        <v>860</v>
      </c>
      <c r="C323" s="25" t="s">
        <v>156</v>
      </c>
      <c r="D323" s="25" t="s">
        <v>162</v>
      </c>
      <c r="E323" s="25" t="s">
        <v>100</v>
      </c>
      <c r="F323" s="52">
        <v>0</v>
      </c>
      <c r="G323" s="56">
        <v>0</v>
      </c>
      <c r="H323" s="72"/>
    </row>
    <row r="324" spans="1:12">
      <c r="A324" s="25" t="s">
        <v>2264</v>
      </c>
      <c r="B324" s="25" t="s">
        <v>862</v>
      </c>
      <c r="C324" s="25" t="s">
        <v>156</v>
      </c>
      <c r="D324" s="53" t="s">
        <v>169</v>
      </c>
      <c r="E324" s="53" t="s">
        <v>2265</v>
      </c>
      <c r="F324" s="54">
        <v>0</v>
      </c>
      <c r="G324" s="57">
        <f>SUM(G321:G323)</f>
        <v>0</v>
      </c>
      <c r="H324" s="72"/>
    </row>
    <row r="325" spans="1:12">
      <c r="A325" s="25" t="s">
        <v>861</v>
      </c>
      <c r="B325" s="25" t="s">
        <v>862</v>
      </c>
      <c r="C325" s="25" t="s">
        <v>156</v>
      </c>
      <c r="D325" s="53" t="s">
        <v>598</v>
      </c>
      <c r="E325" s="53" t="s">
        <v>863</v>
      </c>
      <c r="F325" s="54">
        <v>472966.56</v>
      </c>
      <c r="G325" s="57">
        <f>+G324+G319</f>
        <v>472967</v>
      </c>
      <c r="H325" s="72"/>
    </row>
    <row r="326" spans="1:12">
      <c r="A326" s="25" t="s">
        <v>864</v>
      </c>
      <c r="B326" s="25" t="s">
        <v>865</v>
      </c>
      <c r="C326" s="25" t="s">
        <v>156</v>
      </c>
      <c r="D326" s="53" t="s">
        <v>598</v>
      </c>
      <c r="E326" s="53" t="s">
        <v>866</v>
      </c>
      <c r="F326" s="54">
        <v>15705270.91</v>
      </c>
      <c r="G326" s="57">
        <f>+G325+G314</f>
        <v>15705271</v>
      </c>
      <c r="H326" s="72"/>
      <c r="J326" s="1">
        <f>+F327+I327</f>
        <v>-391392.42</v>
      </c>
    </row>
    <row r="327" spans="1:12">
      <c r="A327" s="25" t="s">
        <v>867</v>
      </c>
      <c r="B327" s="25" t="s">
        <v>868</v>
      </c>
      <c r="C327" s="25" t="s">
        <v>156</v>
      </c>
      <c r="D327" s="53" t="s">
        <v>598</v>
      </c>
      <c r="E327" s="53" t="s">
        <v>869</v>
      </c>
      <c r="F327" s="54">
        <v>-300115.42</v>
      </c>
      <c r="G327" s="57">
        <f>+G59-G326</f>
        <v>300115</v>
      </c>
      <c r="H327" s="72"/>
      <c r="I327">
        <f>SUM(H3:H327)</f>
        <v>-91277</v>
      </c>
      <c r="K327">
        <v>-209129</v>
      </c>
      <c r="L327" s="1">
        <f>+J326-K327</f>
        <v>-182263.41999999998</v>
      </c>
    </row>
    <row r="328" spans="1:12">
      <c r="A328" s="25" t="s">
        <v>870</v>
      </c>
      <c r="B328" s="25" t="s">
        <v>871</v>
      </c>
      <c r="C328" s="25" t="s">
        <v>872</v>
      </c>
      <c r="D328" s="25" t="s">
        <v>157</v>
      </c>
      <c r="E328" s="25" t="s">
        <v>100</v>
      </c>
      <c r="F328" s="58">
        <v>0</v>
      </c>
      <c r="G328" s="60"/>
      <c r="H328" s="73"/>
    </row>
    <row r="329" spans="1:12">
      <c r="A329" s="25" t="s">
        <v>873</v>
      </c>
      <c r="B329" s="25" t="s">
        <v>874</v>
      </c>
      <c r="C329" s="25" t="s">
        <v>872</v>
      </c>
      <c r="D329" s="25" t="s">
        <v>157</v>
      </c>
      <c r="E329" s="25" t="s">
        <v>100</v>
      </c>
      <c r="F329" s="58">
        <v>0</v>
      </c>
      <c r="G329" s="60"/>
      <c r="H329" s="73"/>
    </row>
    <row r="330" spans="1:12">
      <c r="A330" s="25" t="s">
        <v>875</v>
      </c>
      <c r="B330" s="25" t="s">
        <v>876</v>
      </c>
      <c r="C330" s="25" t="s">
        <v>872</v>
      </c>
      <c r="D330" s="25" t="s">
        <v>157</v>
      </c>
      <c r="E330" s="25" t="s">
        <v>100</v>
      </c>
      <c r="F330" s="58">
        <v>0</v>
      </c>
      <c r="G330" s="60"/>
      <c r="H330" s="73"/>
    </row>
    <row r="331" spans="1:12">
      <c r="A331" s="25" t="s">
        <v>877</v>
      </c>
      <c r="B331" s="25" t="s">
        <v>878</v>
      </c>
      <c r="C331" s="25" t="s">
        <v>872</v>
      </c>
      <c r="D331" s="25" t="s">
        <v>162</v>
      </c>
      <c r="E331" s="25" t="s">
        <v>100</v>
      </c>
      <c r="F331" s="58">
        <v>28500000</v>
      </c>
      <c r="G331" s="60">
        <f t="shared" ref="G331:G336" si="0">+F331</f>
        <v>28500000</v>
      </c>
      <c r="H331" s="73"/>
    </row>
    <row r="332" spans="1:12">
      <c r="A332" s="25" t="s">
        <v>879</v>
      </c>
      <c r="B332" s="25" t="s">
        <v>880</v>
      </c>
      <c r="C332" s="25" t="s">
        <v>872</v>
      </c>
      <c r="D332" s="25" t="s">
        <v>162</v>
      </c>
      <c r="E332" s="25" t="s">
        <v>100</v>
      </c>
      <c r="F332" s="58">
        <v>20694600</v>
      </c>
      <c r="G332" s="60">
        <f t="shared" si="0"/>
        <v>20694600</v>
      </c>
      <c r="H332" s="73"/>
    </row>
    <row r="333" spans="1:12">
      <c r="A333" s="25" t="s">
        <v>881</v>
      </c>
      <c r="B333" s="25" t="s">
        <v>882</v>
      </c>
      <c r="C333" s="25" t="s">
        <v>872</v>
      </c>
      <c r="D333" s="25" t="s">
        <v>162</v>
      </c>
      <c r="E333" s="25" t="s">
        <v>100</v>
      </c>
      <c r="F333" s="58">
        <v>4050000</v>
      </c>
      <c r="G333" s="60">
        <f t="shared" si="0"/>
        <v>4050000</v>
      </c>
      <c r="H333" s="73"/>
    </row>
    <row r="334" spans="1:12">
      <c r="A334" s="25" t="s">
        <v>883</v>
      </c>
      <c r="B334" s="25" t="s">
        <v>884</v>
      </c>
      <c r="C334" s="25" t="s">
        <v>872</v>
      </c>
      <c r="D334" s="25" t="s">
        <v>162</v>
      </c>
      <c r="E334" s="25" t="s">
        <v>100</v>
      </c>
      <c r="F334" s="58">
        <v>137241</v>
      </c>
      <c r="G334" s="60">
        <f t="shared" si="0"/>
        <v>137241</v>
      </c>
      <c r="H334" s="73">
        <f>-21909</f>
        <v>-21909</v>
      </c>
    </row>
    <row r="335" spans="1:12">
      <c r="A335" s="25" t="s">
        <v>885</v>
      </c>
      <c r="B335" s="25" t="s">
        <v>886</v>
      </c>
      <c r="C335" s="25" t="s">
        <v>872</v>
      </c>
      <c r="D335" s="25" t="s">
        <v>162</v>
      </c>
      <c r="E335" s="25" t="s">
        <v>100</v>
      </c>
      <c r="F335" s="58">
        <v>140400</v>
      </c>
      <c r="G335" s="60">
        <f t="shared" si="0"/>
        <v>140400</v>
      </c>
      <c r="H335" s="73"/>
    </row>
    <row r="336" spans="1:12">
      <c r="A336" s="25" t="s">
        <v>887</v>
      </c>
      <c r="B336" s="25" t="s">
        <v>888</v>
      </c>
      <c r="C336" s="25" t="s">
        <v>872</v>
      </c>
      <c r="D336" s="25" t="s">
        <v>162</v>
      </c>
      <c r="E336" s="25" t="s">
        <v>100</v>
      </c>
      <c r="F336" s="58">
        <v>200000</v>
      </c>
      <c r="G336" s="60">
        <f t="shared" si="0"/>
        <v>200000</v>
      </c>
      <c r="H336" s="73"/>
    </row>
    <row r="337" spans="1:8">
      <c r="A337" s="25" t="s">
        <v>889</v>
      </c>
      <c r="B337" s="25" t="s">
        <v>890</v>
      </c>
      <c r="C337" s="25" t="s">
        <v>872</v>
      </c>
      <c r="D337" s="25" t="s">
        <v>169</v>
      </c>
      <c r="E337" s="25" t="s">
        <v>891</v>
      </c>
      <c r="F337" s="59">
        <v>53722241</v>
      </c>
      <c r="G337" s="61">
        <f>SUM(G331:G336)</f>
        <v>53722241</v>
      </c>
      <c r="H337" s="73"/>
    </row>
    <row r="338" spans="1:8">
      <c r="A338" s="25" t="s">
        <v>892</v>
      </c>
      <c r="B338" s="25" t="s">
        <v>893</v>
      </c>
      <c r="C338" s="25" t="s">
        <v>872</v>
      </c>
      <c r="D338" s="25" t="s">
        <v>157</v>
      </c>
      <c r="E338" s="25" t="s">
        <v>100</v>
      </c>
      <c r="F338" s="59">
        <v>0</v>
      </c>
      <c r="G338" s="61"/>
      <c r="H338" s="73"/>
    </row>
    <row r="339" spans="1:8">
      <c r="A339" s="25" t="s">
        <v>894</v>
      </c>
      <c r="B339" s="25" t="s">
        <v>895</v>
      </c>
      <c r="C339" s="25" t="s">
        <v>872</v>
      </c>
      <c r="D339" s="25" t="s">
        <v>162</v>
      </c>
      <c r="E339" s="25" t="s">
        <v>100</v>
      </c>
      <c r="F339" s="58">
        <v>0</v>
      </c>
      <c r="G339" s="60">
        <v>0</v>
      </c>
      <c r="H339" s="73"/>
    </row>
    <row r="340" spans="1:8">
      <c r="A340" s="25" t="s">
        <v>896</v>
      </c>
      <c r="B340" s="25" t="s">
        <v>897</v>
      </c>
      <c r="C340" s="25" t="s">
        <v>872</v>
      </c>
      <c r="D340" s="25" t="s">
        <v>169</v>
      </c>
      <c r="E340" s="25" t="s">
        <v>898</v>
      </c>
      <c r="F340" s="59">
        <v>0</v>
      </c>
      <c r="G340" s="61">
        <f>SUM(G339)</f>
        <v>0</v>
      </c>
      <c r="H340" s="73"/>
    </row>
    <row r="341" spans="1:8">
      <c r="A341" s="25" t="s">
        <v>899</v>
      </c>
      <c r="B341" s="25" t="s">
        <v>900</v>
      </c>
      <c r="C341" s="25" t="s">
        <v>872</v>
      </c>
      <c r="D341" s="25" t="s">
        <v>157</v>
      </c>
      <c r="E341" s="25" t="s">
        <v>100</v>
      </c>
      <c r="F341" s="59">
        <v>0</v>
      </c>
      <c r="G341" s="61"/>
      <c r="H341" s="73"/>
    </row>
    <row r="342" spans="1:8">
      <c r="A342" s="25" t="s">
        <v>901</v>
      </c>
      <c r="B342" s="25" t="s">
        <v>902</v>
      </c>
      <c r="C342" s="25" t="s">
        <v>872</v>
      </c>
      <c r="D342" s="25" t="s">
        <v>162</v>
      </c>
      <c r="E342" s="25" t="s">
        <v>100</v>
      </c>
      <c r="F342" s="58">
        <v>3366400</v>
      </c>
      <c r="G342" s="60">
        <v>3366400</v>
      </c>
      <c r="H342" s="73"/>
    </row>
    <row r="343" spans="1:8">
      <c r="A343" s="25" t="s">
        <v>903</v>
      </c>
      <c r="B343" s="25" t="s">
        <v>2147</v>
      </c>
      <c r="C343" s="25" t="s">
        <v>872</v>
      </c>
      <c r="D343" s="25" t="s">
        <v>162</v>
      </c>
      <c r="E343" s="25" t="s">
        <v>100</v>
      </c>
      <c r="F343" s="58">
        <v>0</v>
      </c>
      <c r="G343" s="60">
        <v>0</v>
      </c>
      <c r="H343" s="73"/>
    </row>
    <row r="344" spans="1:8">
      <c r="A344" s="25" t="s">
        <v>905</v>
      </c>
      <c r="B344" s="25" t="s">
        <v>906</v>
      </c>
      <c r="C344" s="25" t="s">
        <v>872</v>
      </c>
      <c r="D344" s="25" t="s">
        <v>162</v>
      </c>
      <c r="E344" s="25" t="s">
        <v>100</v>
      </c>
      <c r="F344" s="58">
        <v>8250</v>
      </c>
      <c r="G344" s="60">
        <v>8250</v>
      </c>
      <c r="H344" s="73"/>
    </row>
    <row r="345" spans="1:8">
      <c r="A345" s="25" t="s">
        <v>907</v>
      </c>
      <c r="B345" s="25" t="s">
        <v>908</v>
      </c>
      <c r="C345" s="25" t="s">
        <v>872</v>
      </c>
      <c r="D345" s="25" t="s">
        <v>162</v>
      </c>
      <c r="E345" s="25" t="s">
        <v>100</v>
      </c>
      <c r="F345" s="58">
        <v>3791167.5</v>
      </c>
      <c r="G345" s="60">
        <v>3791168</v>
      </c>
      <c r="H345" s="73">
        <v>241246</v>
      </c>
    </row>
    <row r="346" spans="1:8">
      <c r="A346" s="25" t="s">
        <v>909</v>
      </c>
      <c r="B346" s="25" t="s">
        <v>910</v>
      </c>
      <c r="C346" s="25" t="s">
        <v>872</v>
      </c>
      <c r="D346" s="25" t="s">
        <v>162</v>
      </c>
      <c r="E346" s="25" t="s">
        <v>100</v>
      </c>
      <c r="F346" s="58">
        <v>83897.5</v>
      </c>
      <c r="G346" s="60">
        <v>83897</v>
      </c>
      <c r="H346" s="73">
        <v>-32117</v>
      </c>
    </row>
    <row r="347" spans="1:8">
      <c r="A347" s="25" t="s">
        <v>913</v>
      </c>
      <c r="B347" s="25" t="s">
        <v>914</v>
      </c>
      <c r="C347" s="25" t="s">
        <v>872</v>
      </c>
      <c r="D347" s="25" t="s">
        <v>169</v>
      </c>
      <c r="E347" s="25" t="s">
        <v>915</v>
      </c>
      <c r="F347" s="59">
        <v>7249715</v>
      </c>
      <c r="G347" s="61">
        <f>SUM(G342:G346)</f>
        <v>7249715</v>
      </c>
      <c r="H347" s="73"/>
    </row>
    <row r="348" spans="1:8">
      <c r="A348" s="25" t="s">
        <v>916</v>
      </c>
      <c r="B348" s="25" t="s">
        <v>917</v>
      </c>
      <c r="C348" s="25" t="s">
        <v>872</v>
      </c>
      <c r="D348" s="25" t="s">
        <v>169</v>
      </c>
      <c r="E348" s="25" t="s">
        <v>918</v>
      </c>
      <c r="F348" s="59">
        <v>60971956</v>
      </c>
      <c r="G348" s="61">
        <f>+G347+G337</f>
        <v>60971956</v>
      </c>
      <c r="H348" s="73"/>
    </row>
    <row r="349" spans="1:8">
      <c r="A349" s="25" t="s">
        <v>919</v>
      </c>
      <c r="B349" s="25" t="s">
        <v>920</v>
      </c>
      <c r="C349" s="25" t="s">
        <v>872</v>
      </c>
      <c r="D349" s="25" t="s">
        <v>157</v>
      </c>
      <c r="E349" s="25" t="s">
        <v>100</v>
      </c>
      <c r="F349" s="59">
        <v>0</v>
      </c>
      <c r="G349" s="61"/>
      <c r="H349" s="73"/>
    </row>
    <row r="350" spans="1:8">
      <c r="A350" s="25" t="s">
        <v>921</v>
      </c>
      <c r="B350" s="25" t="s">
        <v>922</v>
      </c>
      <c r="C350" s="25" t="s">
        <v>872</v>
      </c>
      <c r="D350" s="25" t="s">
        <v>157</v>
      </c>
      <c r="E350" s="25" t="s">
        <v>100</v>
      </c>
      <c r="F350" s="59">
        <v>0</v>
      </c>
      <c r="G350" s="61"/>
      <c r="H350" s="73"/>
    </row>
    <row r="351" spans="1:8">
      <c r="A351" s="25" t="s">
        <v>923</v>
      </c>
      <c r="B351" s="25" t="s">
        <v>924</v>
      </c>
      <c r="C351" s="25" t="s">
        <v>872</v>
      </c>
      <c r="D351" s="25" t="s">
        <v>162</v>
      </c>
      <c r="E351" s="25" t="s">
        <v>100</v>
      </c>
      <c r="F351" s="58">
        <v>61629.13</v>
      </c>
      <c r="G351" s="60">
        <v>61629</v>
      </c>
      <c r="H351" s="73">
        <f>28857+1327</f>
        <v>30184</v>
      </c>
    </row>
    <row r="352" spans="1:8">
      <c r="A352" s="25" t="s">
        <v>925</v>
      </c>
      <c r="B352" s="25" t="s">
        <v>926</v>
      </c>
      <c r="C352" s="25" t="s">
        <v>872</v>
      </c>
      <c r="D352" s="25" t="s">
        <v>162</v>
      </c>
      <c r="E352" s="25" t="s">
        <v>100</v>
      </c>
      <c r="F352" s="58">
        <v>0</v>
      </c>
      <c r="G352" s="60">
        <v>0</v>
      </c>
      <c r="H352" s="73"/>
    </row>
    <row r="353" spans="1:8">
      <c r="A353" s="25" t="s">
        <v>927</v>
      </c>
      <c r="B353" s="25" t="s">
        <v>928</v>
      </c>
      <c r="C353" s="25" t="s">
        <v>872</v>
      </c>
      <c r="D353" s="25" t="s">
        <v>162</v>
      </c>
      <c r="E353" s="25" t="s">
        <v>100</v>
      </c>
      <c r="F353" s="58">
        <v>0</v>
      </c>
      <c r="G353" s="60">
        <v>0</v>
      </c>
      <c r="H353" s="73"/>
    </row>
    <row r="354" spans="1:8">
      <c r="A354" s="25" t="s">
        <v>929</v>
      </c>
      <c r="B354" s="25" t="s">
        <v>930</v>
      </c>
      <c r="C354" s="25" t="s">
        <v>872</v>
      </c>
      <c r="D354" s="25" t="s">
        <v>162</v>
      </c>
      <c r="E354" s="25" t="s">
        <v>100</v>
      </c>
      <c r="F354" s="58">
        <v>0</v>
      </c>
      <c r="G354" s="60">
        <v>0</v>
      </c>
      <c r="H354" s="73"/>
    </row>
    <row r="355" spans="1:8">
      <c r="A355" s="25" t="s">
        <v>931</v>
      </c>
      <c r="B355" s="25" t="s">
        <v>932</v>
      </c>
      <c r="C355" s="25" t="s">
        <v>872</v>
      </c>
      <c r="D355" s="25" t="s">
        <v>162</v>
      </c>
      <c r="E355" s="25" t="s">
        <v>100</v>
      </c>
      <c r="F355" s="58">
        <v>219779.9</v>
      </c>
      <c r="G355" s="60">
        <v>219780</v>
      </c>
      <c r="H355" s="73"/>
    </row>
    <row r="356" spans="1:8">
      <c r="A356" s="25" t="s">
        <v>933</v>
      </c>
      <c r="B356" s="25" t="s">
        <v>934</v>
      </c>
      <c r="C356" s="25" t="s">
        <v>872</v>
      </c>
      <c r="D356" s="25" t="s">
        <v>162</v>
      </c>
      <c r="E356" s="25" t="s">
        <v>100</v>
      </c>
      <c r="F356" s="58">
        <v>0</v>
      </c>
      <c r="G356" s="60">
        <v>0</v>
      </c>
      <c r="H356" s="73"/>
    </row>
    <row r="357" spans="1:8">
      <c r="A357" s="25" t="s">
        <v>2202</v>
      </c>
      <c r="B357" s="25" t="s">
        <v>2203</v>
      </c>
      <c r="C357" s="25" t="s">
        <v>872</v>
      </c>
      <c r="D357" s="25" t="s">
        <v>162</v>
      </c>
      <c r="E357" s="25" t="s">
        <v>100</v>
      </c>
      <c r="F357" s="58">
        <v>-49604.12</v>
      </c>
      <c r="G357" s="64">
        <v>-49604</v>
      </c>
      <c r="H357" s="73"/>
    </row>
    <row r="358" spans="1:8">
      <c r="A358" s="25" t="s">
        <v>935</v>
      </c>
      <c r="B358" s="25" t="s">
        <v>2171</v>
      </c>
      <c r="C358" s="25" t="s">
        <v>872</v>
      </c>
      <c r="D358" s="25" t="s">
        <v>162</v>
      </c>
      <c r="E358" s="25" t="s">
        <v>100</v>
      </c>
      <c r="F358" s="58">
        <v>0</v>
      </c>
      <c r="G358" s="60">
        <v>0</v>
      </c>
      <c r="H358" s="73"/>
    </row>
    <row r="359" spans="1:8">
      <c r="A359" s="25" t="s">
        <v>937</v>
      </c>
      <c r="B359" s="25" t="s">
        <v>938</v>
      </c>
      <c r="C359" s="25" t="s">
        <v>872</v>
      </c>
      <c r="D359" s="25" t="s">
        <v>169</v>
      </c>
      <c r="E359" s="25" t="s">
        <v>939</v>
      </c>
      <c r="F359" s="59">
        <v>231804.91</v>
      </c>
      <c r="G359" s="61">
        <f>SUM(G351:G358)</f>
        <v>231805</v>
      </c>
      <c r="H359" s="73"/>
    </row>
    <row r="360" spans="1:8">
      <c r="A360" s="25" t="s">
        <v>940</v>
      </c>
      <c r="B360" s="25" t="s">
        <v>941</v>
      </c>
      <c r="C360" s="25" t="s">
        <v>872</v>
      </c>
      <c r="D360" s="25" t="s">
        <v>157</v>
      </c>
      <c r="E360" s="25" t="s">
        <v>100</v>
      </c>
      <c r="F360" s="59">
        <v>0</v>
      </c>
      <c r="G360" s="61"/>
      <c r="H360" s="73"/>
    </row>
    <row r="361" spans="1:8">
      <c r="A361" s="25" t="s">
        <v>942</v>
      </c>
      <c r="B361" s="25" t="s">
        <v>943</v>
      </c>
      <c r="C361" s="25" t="s">
        <v>872</v>
      </c>
      <c r="D361" s="25" t="s">
        <v>162</v>
      </c>
      <c r="E361" s="25" t="s">
        <v>100</v>
      </c>
      <c r="F361" s="58">
        <v>33000</v>
      </c>
      <c r="G361" s="60">
        <v>33000</v>
      </c>
      <c r="H361" s="73"/>
    </row>
    <row r="362" spans="1:8">
      <c r="A362" s="25" t="s">
        <v>944</v>
      </c>
      <c r="B362" s="25" t="s">
        <v>2204</v>
      </c>
      <c r="C362" s="25" t="s">
        <v>872</v>
      </c>
      <c r="D362" s="25" t="s">
        <v>162</v>
      </c>
      <c r="E362" s="25" t="s">
        <v>100</v>
      </c>
      <c r="F362" s="58">
        <v>0</v>
      </c>
      <c r="G362" s="60">
        <v>0</v>
      </c>
      <c r="H362" s="73"/>
    </row>
    <row r="363" spans="1:8">
      <c r="A363" s="25" t="s">
        <v>946</v>
      </c>
      <c r="B363" s="25" t="s">
        <v>947</v>
      </c>
      <c r="C363" s="25" t="s">
        <v>872</v>
      </c>
      <c r="D363" s="25" t="s">
        <v>162</v>
      </c>
      <c r="E363" s="25" t="s">
        <v>100</v>
      </c>
      <c r="F363" s="58">
        <v>0</v>
      </c>
      <c r="G363" s="60">
        <v>0</v>
      </c>
      <c r="H363" s="73"/>
    </row>
    <row r="364" spans="1:8">
      <c r="A364" s="25" t="s">
        <v>948</v>
      </c>
      <c r="B364" s="25" t="s">
        <v>949</v>
      </c>
      <c r="C364" s="25" t="s">
        <v>872</v>
      </c>
      <c r="D364" s="25" t="s">
        <v>162</v>
      </c>
      <c r="E364" s="25" t="s">
        <v>100</v>
      </c>
      <c r="F364" s="58">
        <v>20000</v>
      </c>
      <c r="G364" s="60">
        <v>20000</v>
      </c>
      <c r="H364" s="73"/>
    </row>
    <row r="365" spans="1:8">
      <c r="A365" s="25" t="s">
        <v>950</v>
      </c>
      <c r="B365" s="25" t="s">
        <v>951</v>
      </c>
      <c r="C365" s="25" t="s">
        <v>872</v>
      </c>
      <c r="D365" s="25" t="s">
        <v>162</v>
      </c>
      <c r="E365" s="25" t="s">
        <v>100</v>
      </c>
      <c r="F365" s="58">
        <v>3000</v>
      </c>
      <c r="G365" s="60">
        <v>3000</v>
      </c>
      <c r="H365" s="73"/>
    </row>
    <row r="366" spans="1:8">
      <c r="A366" s="25" t="s">
        <v>952</v>
      </c>
      <c r="B366" s="25" t="s">
        <v>953</v>
      </c>
      <c r="C366" s="25" t="s">
        <v>872</v>
      </c>
      <c r="D366" s="25" t="s">
        <v>169</v>
      </c>
      <c r="E366" s="25" t="s">
        <v>954</v>
      </c>
      <c r="F366" s="59">
        <v>56000</v>
      </c>
      <c r="G366" s="61">
        <f>SUM(G361:G365)</f>
        <v>56000</v>
      </c>
      <c r="H366" s="73"/>
    </row>
    <row r="367" spans="1:8">
      <c r="A367" s="25" t="s">
        <v>955</v>
      </c>
      <c r="B367" s="25" t="s">
        <v>956</v>
      </c>
      <c r="C367" s="25" t="s">
        <v>872</v>
      </c>
      <c r="D367" s="25" t="s">
        <v>157</v>
      </c>
      <c r="E367" s="25" t="s">
        <v>100</v>
      </c>
      <c r="F367" s="59">
        <v>0</v>
      </c>
      <c r="G367" s="61"/>
      <c r="H367" s="73"/>
    </row>
    <row r="368" spans="1:8">
      <c r="A368" s="25" t="s">
        <v>957</v>
      </c>
      <c r="B368" s="25" t="s">
        <v>958</v>
      </c>
      <c r="C368" s="25" t="s">
        <v>872</v>
      </c>
      <c r="D368" s="25" t="s">
        <v>162</v>
      </c>
      <c r="E368" s="25" t="s">
        <v>100</v>
      </c>
      <c r="F368" s="58">
        <v>511.38</v>
      </c>
      <c r="G368" s="60">
        <v>511</v>
      </c>
      <c r="H368" s="73"/>
    </row>
    <row r="369" spans="1:10">
      <c r="A369" s="25" t="s">
        <v>959</v>
      </c>
      <c r="B369" s="25" t="s">
        <v>960</v>
      </c>
      <c r="C369" s="25" t="s">
        <v>872</v>
      </c>
      <c r="D369" s="25" t="s">
        <v>162</v>
      </c>
      <c r="E369" s="25" t="s">
        <v>100</v>
      </c>
      <c r="F369" s="58">
        <v>869312.55</v>
      </c>
      <c r="G369" s="60">
        <v>869313</v>
      </c>
      <c r="H369" s="73"/>
      <c r="I369">
        <v>191157</v>
      </c>
      <c r="J369">
        <v>-191157</v>
      </c>
    </row>
    <row r="370" spans="1:10">
      <c r="A370" s="25" t="s">
        <v>961</v>
      </c>
      <c r="B370" s="25" t="s">
        <v>962</v>
      </c>
      <c r="C370" s="25" t="s">
        <v>872</v>
      </c>
      <c r="D370" s="25" t="s">
        <v>162</v>
      </c>
      <c r="E370" s="25" t="s">
        <v>100</v>
      </c>
      <c r="F370" s="58">
        <v>159453</v>
      </c>
      <c r="G370" s="60">
        <v>159453</v>
      </c>
      <c r="H370" s="73">
        <v>38869</v>
      </c>
    </row>
    <row r="371" spans="1:10">
      <c r="A371" s="25" t="s">
        <v>963</v>
      </c>
      <c r="B371" s="25" t="s">
        <v>964</v>
      </c>
      <c r="C371" s="25" t="s">
        <v>872</v>
      </c>
      <c r="D371" s="25" t="s">
        <v>162</v>
      </c>
      <c r="E371" s="25" t="s">
        <v>100</v>
      </c>
      <c r="F371" s="58">
        <v>0</v>
      </c>
      <c r="G371" s="60">
        <v>0</v>
      </c>
      <c r="H371" s="73"/>
    </row>
    <row r="372" spans="1:10">
      <c r="A372" s="25" t="s">
        <v>965</v>
      </c>
      <c r="B372" s="25" t="s">
        <v>966</v>
      </c>
      <c r="C372" s="25" t="s">
        <v>872</v>
      </c>
      <c r="D372" s="25" t="s">
        <v>169</v>
      </c>
      <c r="E372" s="25" t="s">
        <v>967</v>
      </c>
      <c r="F372" s="59">
        <v>1029276.93</v>
      </c>
      <c r="G372" s="61">
        <f>SUM(G368:G371)</f>
        <v>1029277</v>
      </c>
      <c r="H372" s="73"/>
    </row>
    <row r="373" spans="1:10">
      <c r="A373" s="25" t="s">
        <v>968</v>
      </c>
      <c r="B373" s="25" t="s">
        <v>938</v>
      </c>
      <c r="C373" s="25" t="s">
        <v>872</v>
      </c>
      <c r="D373" s="25" t="s">
        <v>169</v>
      </c>
      <c r="E373" s="25" t="s">
        <v>969</v>
      </c>
      <c r="F373" s="59">
        <v>1317081.8400000001</v>
      </c>
      <c r="G373" s="61">
        <f>+G372+G366+G359</f>
        <v>1317082</v>
      </c>
      <c r="H373" s="73"/>
    </row>
    <row r="374" spans="1:10">
      <c r="A374" s="25" t="s">
        <v>970</v>
      </c>
      <c r="B374" s="25" t="s">
        <v>971</v>
      </c>
      <c r="C374" s="25" t="s">
        <v>872</v>
      </c>
      <c r="D374" s="25" t="s">
        <v>157</v>
      </c>
      <c r="E374" s="25" t="s">
        <v>100</v>
      </c>
      <c r="F374" s="58">
        <v>0</v>
      </c>
      <c r="G374" s="60"/>
      <c r="H374" s="73"/>
    </row>
    <row r="375" spans="1:10">
      <c r="A375" s="25" t="s">
        <v>972</v>
      </c>
      <c r="B375" s="25" t="s">
        <v>973</v>
      </c>
      <c r="C375" s="25" t="s">
        <v>872</v>
      </c>
      <c r="D375" s="25" t="s">
        <v>162</v>
      </c>
      <c r="E375" s="25" t="s">
        <v>100</v>
      </c>
      <c r="F375" s="58">
        <v>7950227.2599999998</v>
      </c>
      <c r="G375" s="60">
        <v>7950227</v>
      </c>
      <c r="H375" s="73"/>
    </row>
    <row r="376" spans="1:10">
      <c r="A376" s="25" t="s">
        <v>974</v>
      </c>
      <c r="B376" s="25" t="s">
        <v>2172</v>
      </c>
      <c r="C376" s="25" t="s">
        <v>872</v>
      </c>
      <c r="D376" s="25" t="s">
        <v>162</v>
      </c>
      <c r="E376" s="25" t="s">
        <v>100</v>
      </c>
      <c r="F376" s="58">
        <v>-189.44</v>
      </c>
      <c r="G376" s="60">
        <v>-189</v>
      </c>
      <c r="H376" s="73"/>
    </row>
    <row r="377" spans="1:10">
      <c r="A377" s="25" t="s">
        <v>976</v>
      </c>
      <c r="B377" s="25" t="s">
        <v>2266</v>
      </c>
      <c r="C377" s="25" t="s">
        <v>872</v>
      </c>
      <c r="D377" s="25" t="s">
        <v>162</v>
      </c>
      <c r="E377" s="25" t="s">
        <v>100</v>
      </c>
      <c r="F377" s="58">
        <v>12263.03</v>
      </c>
      <c r="G377" s="60">
        <v>12263</v>
      </c>
      <c r="H377" s="73"/>
    </row>
    <row r="378" spans="1:10">
      <c r="A378" s="25" t="s">
        <v>978</v>
      </c>
      <c r="B378" s="25" t="s">
        <v>979</v>
      </c>
      <c r="C378" s="25" t="s">
        <v>872</v>
      </c>
      <c r="D378" s="25" t="s">
        <v>162</v>
      </c>
      <c r="E378" s="25" t="s">
        <v>100</v>
      </c>
      <c r="F378" s="58">
        <v>4254.78</v>
      </c>
      <c r="G378" s="60">
        <v>4255</v>
      </c>
      <c r="H378" s="73"/>
    </row>
    <row r="379" spans="1:10">
      <c r="A379" s="25" t="s">
        <v>980</v>
      </c>
      <c r="B379" s="25" t="s">
        <v>981</v>
      </c>
      <c r="C379" s="25" t="s">
        <v>872</v>
      </c>
      <c r="D379" s="25" t="s">
        <v>162</v>
      </c>
      <c r="E379" s="25" t="s">
        <v>100</v>
      </c>
      <c r="F379" s="58">
        <v>-38157.35</v>
      </c>
      <c r="G379" s="60">
        <v>-38157</v>
      </c>
      <c r="H379" s="73"/>
    </row>
    <row r="380" spans="1:10">
      <c r="A380" s="25" t="s">
        <v>982</v>
      </c>
      <c r="B380" s="25" t="s">
        <v>983</v>
      </c>
      <c r="C380" s="25" t="s">
        <v>872</v>
      </c>
      <c r="D380" s="25" t="s">
        <v>162</v>
      </c>
      <c r="E380" s="25" t="s">
        <v>100</v>
      </c>
      <c r="F380" s="58">
        <v>30301.91</v>
      </c>
      <c r="G380" s="60">
        <v>30302</v>
      </c>
      <c r="H380" s="73"/>
    </row>
    <row r="381" spans="1:10">
      <c r="A381" s="25" t="s">
        <v>984</v>
      </c>
      <c r="B381" s="25" t="s">
        <v>985</v>
      </c>
      <c r="C381" s="25" t="s">
        <v>872</v>
      </c>
      <c r="D381" s="25" t="s">
        <v>162</v>
      </c>
      <c r="E381" s="25" t="s">
        <v>100</v>
      </c>
      <c r="F381" s="58">
        <v>4475.67</v>
      </c>
      <c r="G381" s="60">
        <v>4475</v>
      </c>
      <c r="H381" s="73"/>
    </row>
    <row r="382" spans="1:10">
      <c r="A382" s="25" t="s">
        <v>986</v>
      </c>
      <c r="B382" s="25" t="s">
        <v>987</v>
      </c>
      <c r="C382" s="25" t="s">
        <v>872</v>
      </c>
      <c r="D382" s="25" t="s">
        <v>162</v>
      </c>
      <c r="E382" s="25" t="s">
        <v>100</v>
      </c>
      <c r="F382" s="58">
        <v>5893.5</v>
      </c>
      <c r="G382" s="60">
        <v>5893</v>
      </c>
      <c r="H382" s="73"/>
    </row>
    <row r="383" spans="1:10">
      <c r="A383" s="25" t="s">
        <v>988</v>
      </c>
      <c r="B383" s="25" t="s">
        <v>2267</v>
      </c>
      <c r="C383" s="25" t="s">
        <v>872</v>
      </c>
      <c r="D383" s="25" t="s">
        <v>162</v>
      </c>
      <c r="E383" s="25" t="s">
        <v>100</v>
      </c>
      <c r="F383" s="58">
        <v>0</v>
      </c>
      <c r="G383" s="60">
        <v>0</v>
      </c>
      <c r="H383" s="73"/>
    </row>
    <row r="384" spans="1:10">
      <c r="A384" s="25" t="s">
        <v>990</v>
      </c>
      <c r="B384" s="25" t="s">
        <v>2174</v>
      </c>
      <c r="C384" s="25" t="s">
        <v>872</v>
      </c>
      <c r="D384" s="25" t="s">
        <v>162</v>
      </c>
      <c r="E384" s="25" t="s">
        <v>100</v>
      </c>
      <c r="F384" s="58">
        <v>703</v>
      </c>
      <c r="G384" s="60">
        <v>703</v>
      </c>
      <c r="H384" s="73"/>
    </row>
    <row r="385" spans="1:9">
      <c r="A385" s="25" t="s">
        <v>992</v>
      </c>
      <c r="B385" s="25" t="s">
        <v>993</v>
      </c>
      <c r="C385" s="25" t="s">
        <v>872</v>
      </c>
      <c r="D385" s="25" t="s">
        <v>162</v>
      </c>
      <c r="E385" s="25" t="s">
        <v>100</v>
      </c>
      <c r="F385" s="58">
        <v>17252</v>
      </c>
      <c r="G385" s="60">
        <v>17252</v>
      </c>
      <c r="H385" s="73"/>
    </row>
    <row r="386" spans="1:9">
      <c r="A386" s="25" t="s">
        <v>1002</v>
      </c>
      <c r="B386" s="25" t="s">
        <v>1003</v>
      </c>
      <c r="C386" s="25" t="s">
        <v>872</v>
      </c>
      <c r="D386" s="25" t="s">
        <v>169</v>
      </c>
      <c r="E386" s="25" t="s">
        <v>1004</v>
      </c>
      <c r="F386" s="59">
        <v>7987024.3600000003</v>
      </c>
      <c r="G386" s="61">
        <f>SUM(G375:G385)</f>
        <v>7987024</v>
      </c>
      <c r="H386" s="73"/>
    </row>
    <row r="387" spans="1:9">
      <c r="A387" s="25" t="s">
        <v>1005</v>
      </c>
      <c r="B387" s="25" t="s">
        <v>1006</v>
      </c>
      <c r="C387" s="25" t="s">
        <v>872</v>
      </c>
      <c r="D387" s="25" t="s">
        <v>169</v>
      </c>
      <c r="E387" s="25" t="s">
        <v>1007</v>
      </c>
      <c r="F387" s="59">
        <v>70276062.200000003</v>
      </c>
      <c r="G387" s="61">
        <f>+G373+G348+G386</f>
        <v>70276062</v>
      </c>
      <c r="H387" s="73"/>
    </row>
    <row r="388" spans="1:9">
      <c r="A388" s="25" t="s">
        <v>1008</v>
      </c>
      <c r="B388" s="25" t="s">
        <v>1009</v>
      </c>
      <c r="C388" s="25" t="s">
        <v>872</v>
      </c>
      <c r="D388" s="25" t="s">
        <v>157</v>
      </c>
      <c r="E388" s="25" t="s">
        <v>100</v>
      </c>
      <c r="F388" s="62">
        <v>0</v>
      </c>
      <c r="G388" s="64"/>
      <c r="H388" s="74"/>
    </row>
    <row r="389" spans="1:9">
      <c r="A389" s="25" t="s">
        <v>1010</v>
      </c>
      <c r="B389" s="25" t="s">
        <v>1011</v>
      </c>
      <c r="C389" s="25" t="s">
        <v>872</v>
      </c>
      <c r="D389" s="25" t="s">
        <v>157</v>
      </c>
      <c r="E389" s="25" t="s">
        <v>100</v>
      </c>
      <c r="F389" s="62">
        <v>0</v>
      </c>
      <c r="G389" s="64"/>
      <c r="H389" s="74"/>
    </row>
    <row r="390" spans="1:9">
      <c r="A390" s="25" t="s">
        <v>1012</v>
      </c>
      <c r="B390" s="25" t="s">
        <v>1013</v>
      </c>
      <c r="C390" s="25" t="s">
        <v>872</v>
      </c>
      <c r="D390" s="25" t="s">
        <v>157</v>
      </c>
      <c r="E390" s="25" t="s">
        <v>100</v>
      </c>
      <c r="F390" s="62">
        <v>0</v>
      </c>
      <c r="G390" s="64"/>
      <c r="H390" s="74"/>
    </row>
    <row r="391" spans="1:9">
      <c r="A391" s="25" t="s">
        <v>1014</v>
      </c>
      <c r="B391" s="25" t="s">
        <v>1015</v>
      </c>
      <c r="C391" s="25" t="s">
        <v>872</v>
      </c>
      <c r="D391" s="25" t="s">
        <v>162</v>
      </c>
      <c r="E391" s="25" t="s">
        <v>100</v>
      </c>
      <c r="F391" s="62">
        <v>-22697342.550000001</v>
      </c>
      <c r="G391" s="64">
        <v>22697343</v>
      </c>
      <c r="H391" s="74">
        <v>111000</v>
      </c>
    </row>
    <row r="392" spans="1:9">
      <c r="A392" s="25" t="s">
        <v>1016</v>
      </c>
      <c r="B392" s="25" t="s">
        <v>106</v>
      </c>
      <c r="C392" s="25" t="s">
        <v>872</v>
      </c>
      <c r="D392" s="25" t="s">
        <v>598</v>
      </c>
      <c r="E392" s="25" t="s">
        <v>869</v>
      </c>
      <c r="F392" s="62">
        <v>-300115.42</v>
      </c>
      <c r="G392" s="64"/>
      <c r="H392" s="79">
        <v>-209129</v>
      </c>
    </row>
    <row r="393" spans="1:9">
      <c r="A393" s="25" t="s">
        <v>1017</v>
      </c>
      <c r="B393" s="25" t="s">
        <v>1022</v>
      </c>
      <c r="C393" s="25" t="s">
        <v>872</v>
      </c>
      <c r="D393" s="25" t="s">
        <v>162</v>
      </c>
      <c r="E393" s="25" t="s">
        <v>100</v>
      </c>
      <c r="F393" s="62">
        <v>-19352186.149999999</v>
      </c>
      <c r="G393" s="66">
        <v>19352186</v>
      </c>
      <c r="H393" s="74">
        <v>21909</v>
      </c>
      <c r="I393" s="78"/>
    </row>
    <row r="394" spans="1:9">
      <c r="A394" s="25" t="s">
        <v>1019</v>
      </c>
      <c r="B394" s="25" t="s">
        <v>1020</v>
      </c>
      <c r="C394" s="25" t="s">
        <v>872</v>
      </c>
      <c r="D394" s="25" t="s">
        <v>162</v>
      </c>
      <c r="E394" s="25" t="s">
        <v>100</v>
      </c>
      <c r="F394" s="62">
        <v>592050.19999999995</v>
      </c>
      <c r="G394" s="64">
        <v>-592050</v>
      </c>
      <c r="H394" s="74">
        <v>-64741</v>
      </c>
    </row>
    <row r="395" spans="1:9">
      <c r="A395" s="25" t="s">
        <v>1021</v>
      </c>
      <c r="B395" s="25" t="s">
        <v>1018</v>
      </c>
      <c r="C395" s="25" t="s">
        <v>872</v>
      </c>
      <c r="D395" s="25" t="s">
        <v>162</v>
      </c>
      <c r="E395" s="25" t="s">
        <v>100</v>
      </c>
      <c r="F395" s="62">
        <v>-2831550</v>
      </c>
      <c r="G395" s="64">
        <v>2831550</v>
      </c>
      <c r="H395" s="74"/>
      <c r="I395" s="1">
        <f>+G391+G394+G395-L327+H391-H394-0.42</f>
        <v>25294847</v>
      </c>
    </row>
    <row r="396" spans="1:9">
      <c r="A396" s="25" t="s">
        <v>1023</v>
      </c>
      <c r="B396" s="25" t="s">
        <v>1024</v>
      </c>
      <c r="C396" s="25" t="s">
        <v>872</v>
      </c>
      <c r="D396" s="25" t="s">
        <v>162</v>
      </c>
      <c r="E396" s="25" t="s">
        <v>100</v>
      </c>
      <c r="F396" s="62">
        <v>-1514105</v>
      </c>
      <c r="G396" s="66">
        <v>1514105</v>
      </c>
      <c r="H396" s="77">
        <f>-111000+209129</f>
        <v>98129</v>
      </c>
      <c r="I396" s="1">
        <f>+G396+H396</f>
        <v>1612234</v>
      </c>
    </row>
    <row r="397" spans="1:9">
      <c r="A397" s="25" t="s">
        <v>1025</v>
      </c>
      <c r="B397" s="25" t="s">
        <v>1026</v>
      </c>
      <c r="C397" s="25" t="s">
        <v>872</v>
      </c>
      <c r="D397" s="25" t="s">
        <v>169</v>
      </c>
      <c r="E397" s="25" t="s">
        <v>1027</v>
      </c>
      <c r="F397" s="63">
        <v>-45803133.5</v>
      </c>
      <c r="G397" s="65">
        <f>SUM(G391:G396)</f>
        <v>45803134</v>
      </c>
      <c r="H397" s="74"/>
    </row>
    <row r="398" spans="1:9">
      <c r="A398" s="25" t="s">
        <v>1028</v>
      </c>
      <c r="B398" s="25" t="s">
        <v>1029</v>
      </c>
      <c r="C398" s="25" t="s">
        <v>872</v>
      </c>
      <c r="D398" s="25" t="s">
        <v>157</v>
      </c>
      <c r="E398" s="25" t="s">
        <v>100</v>
      </c>
      <c r="F398" s="63">
        <v>0</v>
      </c>
      <c r="G398" s="65"/>
      <c r="H398" s="74"/>
    </row>
    <row r="399" spans="1:9">
      <c r="A399" s="25" t="s">
        <v>1030</v>
      </c>
      <c r="B399" s="25" t="s">
        <v>1031</v>
      </c>
      <c r="C399" s="25" t="s">
        <v>872</v>
      </c>
      <c r="D399" s="25" t="s">
        <v>162</v>
      </c>
      <c r="E399" s="25" t="s">
        <v>100</v>
      </c>
      <c r="F399" s="62">
        <v>-14266944.199999999</v>
      </c>
      <c r="G399" s="64">
        <v>14266944</v>
      </c>
      <c r="H399" s="74"/>
    </row>
    <row r="400" spans="1:9">
      <c r="A400" s="25" t="s">
        <v>1032</v>
      </c>
      <c r="B400" s="25" t="s">
        <v>1033</v>
      </c>
      <c r="C400" s="25" t="s">
        <v>872</v>
      </c>
      <c r="D400" s="25" t="s">
        <v>162</v>
      </c>
      <c r="E400" s="25" t="s">
        <v>100</v>
      </c>
      <c r="F400" s="62">
        <v>-65990.02</v>
      </c>
      <c r="G400" s="64">
        <v>65990</v>
      </c>
      <c r="H400" s="74"/>
    </row>
    <row r="401" spans="1:9">
      <c r="A401" s="25" t="s">
        <v>1034</v>
      </c>
      <c r="B401" s="25" t="s">
        <v>1035</v>
      </c>
      <c r="C401" s="25" t="s">
        <v>872</v>
      </c>
      <c r="D401" s="25" t="s">
        <v>162</v>
      </c>
      <c r="E401" s="25" t="s">
        <v>100</v>
      </c>
      <c r="F401" s="62">
        <v>814553</v>
      </c>
      <c r="G401" s="64">
        <v>-814553</v>
      </c>
      <c r="H401" s="74"/>
    </row>
    <row r="402" spans="1:9">
      <c r="A402" s="25" t="s">
        <v>1036</v>
      </c>
      <c r="B402" s="25" t="s">
        <v>1037</v>
      </c>
      <c r="C402" s="25" t="s">
        <v>872</v>
      </c>
      <c r="D402" s="25" t="s">
        <v>162</v>
      </c>
      <c r="E402" s="25" t="s">
        <v>100</v>
      </c>
      <c r="F402" s="62">
        <v>7414253</v>
      </c>
      <c r="G402" s="64">
        <v>-7414253</v>
      </c>
      <c r="H402" s="74"/>
    </row>
    <row r="403" spans="1:9">
      <c r="A403" s="25" t="s">
        <v>1038</v>
      </c>
      <c r="B403" s="25" t="s">
        <v>440</v>
      </c>
      <c r="C403" s="25" t="s">
        <v>872</v>
      </c>
      <c r="D403" s="25" t="s">
        <v>162</v>
      </c>
      <c r="E403" s="25" t="s">
        <v>100</v>
      </c>
      <c r="F403" s="62">
        <v>20000</v>
      </c>
      <c r="G403" s="64">
        <v>-20000</v>
      </c>
      <c r="H403" s="74"/>
    </row>
    <row r="404" spans="1:9">
      <c r="A404" s="25" t="s">
        <v>1039</v>
      </c>
      <c r="B404" s="25" t="s">
        <v>1040</v>
      </c>
      <c r="C404" s="25" t="s">
        <v>872</v>
      </c>
      <c r="D404" s="25" t="s">
        <v>169</v>
      </c>
      <c r="E404" s="25" t="s">
        <v>1041</v>
      </c>
      <c r="F404" s="63">
        <v>-6084128.2199999997</v>
      </c>
      <c r="G404" s="65">
        <f>SUM(G399:G403)</f>
        <v>6084128</v>
      </c>
      <c r="H404" s="74"/>
    </row>
    <row r="405" spans="1:9">
      <c r="A405" s="25" t="s">
        <v>1042</v>
      </c>
      <c r="B405" s="25" t="s">
        <v>1043</v>
      </c>
      <c r="C405" s="25" t="s">
        <v>872</v>
      </c>
      <c r="D405" s="25" t="s">
        <v>157</v>
      </c>
      <c r="E405" s="25" t="s">
        <v>100</v>
      </c>
      <c r="F405" s="63">
        <v>0</v>
      </c>
      <c r="G405" s="65"/>
      <c r="H405" s="74"/>
    </row>
    <row r="406" spans="1:9">
      <c r="A406" s="25" t="s">
        <v>1044</v>
      </c>
      <c r="B406" s="25" t="s">
        <v>1045</v>
      </c>
      <c r="C406" s="25" t="s">
        <v>872</v>
      </c>
      <c r="D406" s="25" t="s">
        <v>162</v>
      </c>
      <c r="E406" s="25" t="s">
        <v>100</v>
      </c>
      <c r="F406" s="62">
        <v>0</v>
      </c>
      <c r="G406" s="64">
        <v>0</v>
      </c>
      <c r="H406" s="74"/>
    </row>
    <row r="407" spans="1:9">
      <c r="A407" s="25" t="s">
        <v>1046</v>
      </c>
      <c r="B407" s="25" t="s">
        <v>1047</v>
      </c>
      <c r="C407" s="25" t="s">
        <v>872</v>
      </c>
      <c r="D407" s="25" t="s">
        <v>162</v>
      </c>
      <c r="E407" s="25" t="s">
        <v>100</v>
      </c>
      <c r="F407" s="62">
        <v>-1843138.25</v>
      </c>
      <c r="G407" s="64">
        <v>1843138</v>
      </c>
      <c r="H407" s="74"/>
    </row>
    <row r="408" spans="1:9">
      <c r="A408" s="25" t="s">
        <v>1048</v>
      </c>
      <c r="B408" s="25" t="s">
        <v>1049</v>
      </c>
      <c r="C408" s="25" t="s">
        <v>872</v>
      </c>
      <c r="D408" s="25" t="s">
        <v>162</v>
      </c>
      <c r="E408" s="25" t="s">
        <v>100</v>
      </c>
      <c r="F408" s="62">
        <v>0</v>
      </c>
      <c r="G408" s="64">
        <v>0</v>
      </c>
      <c r="H408" s="74"/>
    </row>
    <row r="409" spans="1:9">
      <c r="A409" s="25" t="s">
        <v>1050</v>
      </c>
      <c r="B409" s="25" t="s">
        <v>1051</v>
      </c>
      <c r="C409" s="25" t="s">
        <v>872</v>
      </c>
      <c r="D409" s="25" t="s">
        <v>162</v>
      </c>
      <c r="E409" s="25" t="s">
        <v>100</v>
      </c>
      <c r="F409" s="62">
        <v>0</v>
      </c>
      <c r="G409" s="64">
        <v>0</v>
      </c>
      <c r="H409" s="74"/>
    </row>
    <row r="410" spans="1:9">
      <c r="A410" s="25" t="s">
        <v>1052</v>
      </c>
      <c r="B410" s="25" t="s">
        <v>1053</v>
      </c>
      <c r="C410" s="25" t="s">
        <v>872</v>
      </c>
      <c r="D410" s="25" t="s">
        <v>162</v>
      </c>
      <c r="E410" s="25" t="s">
        <v>100</v>
      </c>
      <c r="F410" s="62">
        <v>0</v>
      </c>
      <c r="G410" s="64">
        <v>0</v>
      </c>
      <c r="H410" s="74"/>
    </row>
    <row r="411" spans="1:9">
      <c r="A411" s="25" t="s">
        <v>1054</v>
      </c>
      <c r="B411" s="25" t="s">
        <v>1055</v>
      </c>
      <c r="C411" s="25" t="s">
        <v>872</v>
      </c>
      <c r="D411" s="25" t="s">
        <v>162</v>
      </c>
      <c r="E411" s="25" t="s">
        <v>100</v>
      </c>
      <c r="F411" s="62">
        <v>-2427760</v>
      </c>
      <c r="G411" s="64">
        <v>2427760</v>
      </c>
      <c r="H411" s="74">
        <v>1266</v>
      </c>
      <c r="I411" s="3">
        <f>+F411+H411</f>
        <v>-2426494</v>
      </c>
    </row>
    <row r="412" spans="1:9">
      <c r="A412" s="25" t="s">
        <v>1056</v>
      </c>
      <c r="B412" s="25" t="s">
        <v>2178</v>
      </c>
      <c r="C412" s="25" t="s">
        <v>872</v>
      </c>
      <c r="D412" s="25" t="s">
        <v>157</v>
      </c>
      <c r="E412" s="25" t="s">
        <v>100</v>
      </c>
      <c r="F412" s="63">
        <v>0</v>
      </c>
      <c r="G412" s="65">
        <v>0</v>
      </c>
      <c r="H412" s="74"/>
    </row>
    <row r="413" spans="1:9">
      <c r="A413" s="25" t="s">
        <v>1058</v>
      </c>
      <c r="B413" s="25" t="s">
        <v>1031</v>
      </c>
      <c r="C413" s="25" t="s">
        <v>872</v>
      </c>
      <c r="D413" s="25" t="s">
        <v>162</v>
      </c>
      <c r="E413" s="25" t="s">
        <v>100</v>
      </c>
      <c r="F413" s="62">
        <v>-560475.64</v>
      </c>
      <c r="G413" s="64">
        <v>560476</v>
      </c>
      <c r="H413" s="74"/>
    </row>
    <row r="414" spans="1:9">
      <c r="A414" s="25" t="s">
        <v>1059</v>
      </c>
      <c r="B414" s="25" t="s">
        <v>1060</v>
      </c>
      <c r="C414" s="25" t="s">
        <v>872</v>
      </c>
      <c r="D414" s="25" t="s">
        <v>162</v>
      </c>
      <c r="E414" s="25" t="s">
        <v>100</v>
      </c>
      <c r="F414" s="62">
        <v>0</v>
      </c>
      <c r="G414" s="64">
        <v>0</v>
      </c>
      <c r="H414" s="74"/>
    </row>
    <row r="415" spans="1:9">
      <c r="A415" s="25" t="s">
        <v>1061</v>
      </c>
      <c r="B415" s="25" t="s">
        <v>1062</v>
      </c>
      <c r="C415" s="25" t="s">
        <v>872</v>
      </c>
      <c r="D415" s="25" t="s">
        <v>162</v>
      </c>
      <c r="E415" s="25" t="s">
        <v>100</v>
      </c>
      <c r="F415" s="62">
        <v>3923.33</v>
      </c>
      <c r="G415" s="64">
        <v>-3923</v>
      </c>
      <c r="H415" s="74"/>
    </row>
    <row r="416" spans="1:9">
      <c r="A416" s="25" t="s">
        <v>1063</v>
      </c>
      <c r="B416" s="25" t="s">
        <v>2179</v>
      </c>
      <c r="C416" s="25" t="s">
        <v>872</v>
      </c>
      <c r="D416" s="25" t="s">
        <v>169</v>
      </c>
      <c r="E416" s="25" t="s">
        <v>1065</v>
      </c>
      <c r="F416" s="63">
        <v>-556552.31000000006</v>
      </c>
      <c r="G416" s="65">
        <f>SUM(G413:G415)</f>
        <v>556553</v>
      </c>
      <c r="H416" s="74"/>
    </row>
    <row r="417" spans="1:8">
      <c r="A417" s="25" t="s">
        <v>1066</v>
      </c>
      <c r="B417" s="25" t="s">
        <v>1067</v>
      </c>
      <c r="C417" s="25" t="s">
        <v>872</v>
      </c>
      <c r="D417" s="25" t="s">
        <v>169</v>
      </c>
      <c r="E417" s="25" t="s">
        <v>1068</v>
      </c>
      <c r="F417" s="63">
        <v>-4827450.5599999996</v>
      </c>
      <c r="G417" s="65">
        <f>+G416+G411+G407</f>
        <v>4827451</v>
      </c>
      <c r="H417" s="74"/>
    </row>
    <row r="418" spans="1:8">
      <c r="A418" s="25" t="s">
        <v>1069</v>
      </c>
      <c r="B418" s="25" t="s">
        <v>1070</v>
      </c>
      <c r="C418" s="25" t="s">
        <v>872</v>
      </c>
      <c r="D418" s="25" t="s">
        <v>169</v>
      </c>
      <c r="E418" s="25" t="s">
        <v>1071</v>
      </c>
      <c r="F418" s="63">
        <v>-56714712.280000001</v>
      </c>
      <c r="G418" s="65">
        <f>+G417+G404+G397</f>
        <v>56714713</v>
      </c>
      <c r="H418" s="74"/>
    </row>
    <row r="419" spans="1:8">
      <c r="A419" s="25" t="s">
        <v>1072</v>
      </c>
      <c r="B419" s="25" t="s">
        <v>1073</v>
      </c>
      <c r="C419" s="25" t="s">
        <v>872</v>
      </c>
      <c r="D419" s="25" t="s">
        <v>157</v>
      </c>
      <c r="E419" s="25" t="s">
        <v>100</v>
      </c>
      <c r="F419" s="62">
        <v>0</v>
      </c>
      <c r="G419" s="64"/>
      <c r="H419" s="74"/>
    </row>
    <row r="420" spans="1:8">
      <c r="A420" s="25" t="s">
        <v>1074</v>
      </c>
      <c r="B420" s="25" t="s">
        <v>1075</v>
      </c>
      <c r="C420" s="25" t="s">
        <v>872</v>
      </c>
      <c r="D420" s="25" t="s">
        <v>162</v>
      </c>
      <c r="E420" s="25" t="s">
        <v>100</v>
      </c>
      <c r="F420" s="62">
        <v>-300000</v>
      </c>
      <c r="G420" s="64">
        <v>300000</v>
      </c>
      <c r="H420" s="74"/>
    </row>
    <row r="421" spans="1:8">
      <c r="A421" s="25" t="s">
        <v>1076</v>
      </c>
      <c r="B421" s="25" t="s">
        <v>1077</v>
      </c>
      <c r="C421" s="25" t="s">
        <v>872</v>
      </c>
      <c r="D421" s="25" t="s">
        <v>162</v>
      </c>
      <c r="E421" s="25" t="s">
        <v>100</v>
      </c>
      <c r="F421" s="62">
        <v>0</v>
      </c>
      <c r="G421" s="64">
        <v>0</v>
      </c>
      <c r="H421" s="74"/>
    </row>
    <row r="422" spans="1:8">
      <c r="A422" s="25" t="s">
        <v>1078</v>
      </c>
      <c r="B422" s="25" t="s">
        <v>1079</v>
      </c>
      <c r="C422" s="25" t="s">
        <v>872</v>
      </c>
      <c r="D422" s="25" t="s">
        <v>162</v>
      </c>
      <c r="E422" s="25" t="s">
        <v>100</v>
      </c>
      <c r="F422" s="62">
        <v>-10388470.74</v>
      </c>
      <c r="G422" s="64">
        <v>10388471</v>
      </c>
      <c r="H422" s="74">
        <v>204802</v>
      </c>
    </row>
    <row r="423" spans="1:8">
      <c r="A423" s="25"/>
      <c r="B423" s="25"/>
      <c r="C423" s="25"/>
      <c r="D423" s="25"/>
      <c r="E423" s="25"/>
      <c r="F423" s="62"/>
      <c r="G423" s="64"/>
      <c r="H423" s="74"/>
    </row>
    <row r="424" spans="1:8">
      <c r="A424" s="25" t="s">
        <v>1080</v>
      </c>
      <c r="B424" s="25" t="s">
        <v>1081</v>
      </c>
      <c r="C424" s="25" t="s">
        <v>872</v>
      </c>
      <c r="D424" s="25" t="s">
        <v>169</v>
      </c>
      <c r="E424" s="25" t="s">
        <v>1082</v>
      </c>
      <c r="F424" s="63">
        <v>-10688470.74</v>
      </c>
      <c r="G424" s="65">
        <f>SUM(G420:G423)</f>
        <v>10688471</v>
      </c>
      <c r="H424" s="74"/>
    </row>
    <row r="425" spans="1:8">
      <c r="A425" s="25" t="s">
        <v>1083</v>
      </c>
      <c r="B425" s="25" t="s">
        <v>1084</v>
      </c>
      <c r="C425" s="25" t="s">
        <v>872</v>
      </c>
      <c r="D425" s="25" t="s">
        <v>157</v>
      </c>
      <c r="E425" s="25" t="s">
        <v>100</v>
      </c>
      <c r="F425" s="63">
        <v>0</v>
      </c>
      <c r="G425" s="65"/>
      <c r="H425" s="74"/>
    </row>
    <row r="426" spans="1:8">
      <c r="A426" s="25" t="s">
        <v>1085</v>
      </c>
      <c r="B426" s="25" t="s">
        <v>1086</v>
      </c>
      <c r="C426" s="25" t="s">
        <v>872</v>
      </c>
      <c r="D426" s="25" t="s">
        <v>157</v>
      </c>
      <c r="E426" s="25" t="s">
        <v>100</v>
      </c>
      <c r="F426" s="62">
        <v>0</v>
      </c>
      <c r="G426" s="64">
        <v>0</v>
      </c>
      <c r="H426" s="74"/>
    </row>
    <row r="427" spans="1:8">
      <c r="A427" s="25" t="s">
        <v>1087</v>
      </c>
      <c r="B427" s="25" t="s">
        <v>1088</v>
      </c>
      <c r="C427" s="25" t="s">
        <v>872</v>
      </c>
      <c r="D427" s="25" t="s">
        <v>162</v>
      </c>
      <c r="E427" s="25" t="s">
        <v>100</v>
      </c>
      <c r="F427" s="62">
        <v>-264028.84999999998</v>
      </c>
      <c r="G427" s="64">
        <v>264029</v>
      </c>
      <c r="H427" s="74">
        <v>-204802</v>
      </c>
    </row>
    <row r="428" spans="1:8">
      <c r="A428" s="25"/>
      <c r="B428" s="25"/>
      <c r="C428" s="25"/>
      <c r="D428" s="25"/>
      <c r="E428" s="25"/>
      <c r="F428" s="62"/>
      <c r="G428" s="64"/>
      <c r="H428" s="74"/>
    </row>
    <row r="429" spans="1:8">
      <c r="A429" s="25" t="s">
        <v>1089</v>
      </c>
      <c r="B429" s="25" t="s">
        <v>1090</v>
      </c>
      <c r="C429" s="25" t="s">
        <v>872</v>
      </c>
      <c r="D429" s="25" t="s">
        <v>169</v>
      </c>
      <c r="E429" s="25" t="s">
        <v>1091</v>
      </c>
      <c r="F429" s="63">
        <v>-264028.84999999998</v>
      </c>
      <c r="G429" s="65">
        <f>SUM(G426:G428)</f>
        <v>264029</v>
      </c>
      <c r="H429" s="74"/>
    </row>
    <row r="430" spans="1:8">
      <c r="A430" s="25" t="s">
        <v>1092</v>
      </c>
      <c r="B430" s="25" t="s">
        <v>1093</v>
      </c>
      <c r="C430" s="25" t="s">
        <v>872</v>
      </c>
      <c r="D430" s="25" t="s">
        <v>157</v>
      </c>
      <c r="E430" s="25" t="s">
        <v>100</v>
      </c>
      <c r="F430" s="63">
        <v>0</v>
      </c>
      <c r="G430" s="65"/>
      <c r="H430" s="74"/>
    </row>
    <row r="431" spans="1:8">
      <c r="A431" s="25" t="s">
        <v>1094</v>
      </c>
      <c r="B431" s="25" t="s">
        <v>1095</v>
      </c>
      <c r="C431" s="25" t="s">
        <v>872</v>
      </c>
      <c r="D431" s="25" t="s">
        <v>157</v>
      </c>
      <c r="E431" s="25" t="s">
        <v>100</v>
      </c>
      <c r="F431" s="63">
        <v>0</v>
      </c>
      <c r="G431" s="65"/>
      <c r="H431" s="74"/>
    </row>
    <row r="432" spans="1:8">
      <c r="A432" s="25" t="s">
        <v>1096</v>
      </c>
      <c r="B432" s="25" t="s">
        <v>1097</v>
      </c>
      <c r="C432" s="25" t="s">
        <v>872</v>
      </c>
      <c r="D432" s="25" t="s">
        <v>162</v>
      </c>
      <c r="E432" s="25" t="s">
        <v>100</v>
      </c>
      <c r="F432" s="62">
        <v>0</v>
      </c>
      <c r="G432" s="64">
        <v>0</v>
      </c>
      <c r="H432" s="74"/>
    </row>
    <row r="433" spans="1:8">
      <c r="A433" s="25" t="s">
        <v>1098</v>
      </c>
      <c r="B433" s="25" t="s">
        <v>1099</v>
      </c>
      <c r="C433" s="25" t="s">
        <v>872</v>
      </c>
      <c r="D433" s="25" t="s">
        <v>162</v>
      </c>
      <c r="E433" s="25" t="s">
        <v>100</v>
      </c>
      <c r="F433" s="62">
        <v>0</v>
      </c>
      <c r="G433" s="64">
        <v>0</v>
      </c>
      <c r="H433" s="74"/>
    </row>
    <row r="434" spans="1:8">
      <c r="A434" s="25" t="s">
        <v>1100</v>
      </c>
      <c r="B434" s="25" t="s">
        <v>1101</v>
      </c>
      <c r="C434" s="25" t="s">
        <v>872</v>
      </c>
      <c r="D434" s="25" t="s">
        <v>169</v>
      </c>
      <c r="E434" s="25" t="s">
        <v>1102</v>
      </c>
      <c r="F434" s="63">
        <v>0</v>
      </c>
      <c r="G434" s="65">
        <f>SUM(G432:G433)</f>
        <v>0</v>
      </c>
      <c r="H434" s="74"/>
    </row>
    <row r="435" spans="1:8">
      <c r="A435" s="25" t="s">
        <v>1103</v>
      </c>
      <c r="B435" s="25" t="s">
        <v>1104</v>
      </c>
      <c r="C435" s="25" t="s">
        <v>872</v>
      </c>
      <c r="D435" s="25" t="s">
        <v>157</v>
      </c>
      <c r="E435" s="25" t="s">
        <v>100</v>
      </c>
      <c r="F435" s="63">
        <v>0</v>
      </c>
      <c r="G435" s="65"/>
      <c r="H435" s="74"/>
    </row>
    <row r="436" spans="1:8">
      <c r="A436" s="25" t="s">
        <v>1105</v>
      </c>
      <c r="B436" s="25" t="s">
        <v>155</v>
      </c>
      <c r="C436" s="25" t="s">
        <v>872</v>
      </c>
      <c r="D436" s="25" t="s">
        <v>157</v>
      </c>
      <c r="E436" s="25" t="s">
        <v>100</v>
      </c>
      <c r="F436" s="63">
        <v>0</v>
      </c>
      <c r="G436" s="65"/>
      <c r="H436" s="74"/>
    </row>
    <row r="437" spans="1:8">
      <c r="A437" s="25" t="s">
        <v>1106</v>
      </c>
      <c r="B437" s="25" t="s">
        <v>1107</v>
      </c>
      <c r="C437" s="25" t="s">
        <v>872</v>
      </c>
      <c r="D437" s="25" t="s">
        <v>162</v>
      </c>
      <c r="E437" s="25" t="s">
        <v>100</v>
      </c>
      <c r="F437" s="62">
        <v>-118632.92</v>
      </c>
      <c r="G437" s="64">
        <v>118633</v>
      </c>
      <c r="H437" s="74"/>
    </row>
    <row r="438" spans="1:8">
      <c r="A438" s="25" t="s">
        <v>1108</v>
      </c>
      <c r="B438" s="25" t="s">
        <v>440</v>
      </c>
      <c r="C438" s="25" t="s">
        <v>872</v>
      </c>
      <c r="D438" s="25" t="s">
        <v>162</v>
      </c>
      <c r="E438" s="25" t="s">
        <v>100</v>
      </c>
      <c r="F438" s="62">
        <v>-100000</v>
      </c>
      <c r="G438" s="64">
        <v>100000</v>
      </c>
      <c r="H438" s="74"/>
    </row>
    <row r="439" spans="1:8">
      <c r="A439" s="25" t="s">
        <v>1109</v>
      </c>
      <c r="B439" s="25" t="s">
        <v>1110</v>
      </c>
      <c r="C439" s="25" t="s">
        <v>872</v>
      </c>
      <c r="D439" s="25" t="s">
        <v>162</v>
      </c>
      <c r="E439" s="25" t="s">
        <v>100</v>
      </c>
      <c r="F439" s="62">
        <v>-7680</v>
      </c>
      <c r="G439" s="64">
        <v>7680</v>
      </c>
      <c r="H439" s="74"/>
    </row>
    <row r="440" spans="1:8">
      <c r="A440" s="25" t="s">
        <v>1111</v>
      </c>
      <c r="B440" s="25" t="s">
        <v>481</v>
      </c>
      <c r="C440" s="25" t="s">
        <v>872</v>
      </c>
      <c r="D440" s="25" t="s">
        <v>162</v>
      </c>
      <c r="E440" s="25" t="s">
        <v>100</v>
      </c>
      <c r="F440" s="62">
        <v>25000</v>
      </c>
      <c r="G440" s="64">
        <v>-25000</v>
      </c>
      <c r="H440" s="74"/>
    </row>
    <row r="441" spans="1:8">
      <c r="A441" s="25" t="s">
        <v>1112</v>
      </c>
      <c r="B441" s="25" t="s">
        <v>278</v>
      </c>
      <c r="C441" s="25" t="s">
        <v>872</v>
      </c>
      <c r="D441" s="25" t="s">
        <v>169</v>
      </c>
      <c r="E441" s="25" t="s">
        <v>1113</v>
      </c>
      <c r="F441" s="63">
        <v>-201312.92</v>
      </c>
      <c r="G441" s="65">
        <f>SUM(G437:G440)</f>
        <v>201313</v>
      </c>
      <c r="H441" s="74"/>
    </row>
    <row r="442" spans="1:8">
      <c r="A442" s="25" t="s">
        <v>1114</v>
      </c>
      <c r="B442" s="25" t="s">
        <v>1115</v>
      </c>
      <c r="C442" s="25" t="s">
        <v>872</v>
      </c>
      <c r="D442" s="25" t="s">
        <v>157</v>
      </c>
      <c r="E442" s="25" t="s">
        <v>100</v>
      </c>
      <c r="F442" s="63">
        <v>0</v>
      </c>
      <c r="G442" s="65"/>
      <c r="H442" s="74"/>
    </row>
    <row r="443" spans="1:8">
      <c r="A443" s="25" t="s">
        <v>1116</v>
      </c>
      <c r="B443" s="25" t="s">
        <v>220</v>
      </c>
      <c r="C443" s="25" t="s">
        <v>872</v>
      </c>
      <c r="D443" s="25" t="s">
        <v>162</v>
      </c>
      <c r="E443" s="25" t="s">
        <v>100</v>
      </c>
      <c r="F443" s="62">
        <v>43846.15</v>
      </c>
      <c r="G443" s="64">
        <v>-43846</v>
      </c>
      <c r="H443" s="77">
        <f>-30000-839</f>
        <v>-30839</v>
      </c>
    </row>
    <row r="444" spans="1:8">
      <c r="A444" s="25" t="s">
        <v>1117</v>
      </c>
      <c r="B444" s="25" t="s">
        <v>1118</v>
      </c>
      <c r="C444" s="25" t="s">
        <v>872</v>
      </c>
      <c r="D444" s="25" t="s">
        <v>162</v>
      </c>
      <c r="E444" s="25" t="s">
        <v>100</v>
      </c>
      <c r="F444" s="62">
        <v>33170.82</v>
      </c>
      <c r="G444" s="64">
        <v>-33171</v>
      </c>
      <c r="H444" s="74">
        <v>-32015</v>
      </c>
    </row>
    <row r="445" spans="1:8">
      <c r="A445" s="25" t="s">
        <v>1119</v>
      </c>
      <c r="B445" s="25" t="s">
        <v>1120</v>
      </c>
      <c r="C445" s="25" t="s">
        <v>872</v>
      </c>
      <c r="D445" s="25" t="s">
        <v>162</v>
      </c>
      <c r="E445" s="25" t="s">
        <v>100</v>
      </c>
      <c r="F445" s="62">
        <v>1612.5</v>
      </c>
      <c r="G445" s="64">
        <v>-1612</v>
      </c>
      <c r="H445" s="74"/>
    </row>
    <row r="446" spans="1:8">
      <c r="A446" s="25" t="s">
        <v>1121</v>
      </c>
      <c r="B446" s="25" t="s">
        <v>1122</v>
      </c>
      <c r="C446" s="25" t="s">
        <v>872</v>
      </c>
      <c r="D446" s="25" t="s">
        <v>162</v>
      </c>
      <c r="E446" s="25" t="s">
        <v>100</v>
      </c>
      <c r="F446" s="62">
        <v>0</v>
      </c>
      <c r="G446" s="64">
        <v>0</v>
      </c>
      <c r="H446" s="74"/>
    </row>
    <row r="447" spans="1:8">
      <c r="A447" s="25" t="s">
        <v>1123</v>
      </c>
      <c r="B447" s="25" t="s">
        <v>1124</v>
      </c>
      <c r="C447" s="25" t="s">
        <v>872</v>
      </c>
      <c r="D447" s="25" t="s">
        <v>162</v>
      </c>
      <c r="E447" s="25" t="s">
        <v>100</v>
      </c>
      <c r="F447" s="62">
        <v>0</v>
      </c>
      <c r="G447" s="64">
        <v>0</v>
      </c>
      <c r="H447" s="74"/>
    </row>
    <row r="448" spans="1:8">
      <c r="A448" s="25" t="s">
        <v>1125</v>
      </c>
      <c r="B448" s="25" t="s">
        <v>1126</v>
      </c>
      <c r="C448" s="25" t="s">
        <v>872</v>
      </c>
      <c r="D448" s="25" t="s">
        <v>162</v>
      </c>
      <c r="E448" s="25" t="s">
        <v>100</v>
      </c>
      <c r="F448" s="62">
        <v>0</v>
      </c>
      <c r="G448" s="64">
        <v>0</v>
      </c>
      <c r="H448" s="74"/>
    </row>
    <row r="449" spans="1:8">
      <c r="A449" s="25" t="s">
        <v>1127</v>
      </c>
      <c r="B449" s="25" t="s">
        <v>1128</v>
      </c>
      <c r="C449" s="25" t="s">
        <v>872</v>
      </c>
      <c r="D449" s="25" t="s">
        <v>162</v>
      </c>
      <c r="E449" s="25" t="s">
        <v>100</v>
      </c>
      <c r="F449" s="62">
        <v>0</v>
      </c>
      <c r="G449" s="64">
        <v>0</v>
      </c>
      <c r="H449" s="74"/>
    </row>
    <row r="450" spans="1:8">
      <c r="A450" s="25" t="s">
        <v>1129</v>
      </c>
      <c r="B450" s="25" t="s">
        <v>1130</v>
      </c>
      <c r="C450" s="25" t="s">
        <v>872</v>
      </c>
      <c r="D450" s="25" t="s">
        <v>162</v>
      </c>
      <c r="E450" s="25" t="s">
        <v>100</v>
      </c>
      <c r="F450" s="62">
        <v>0</v>
      </c>
      <c r="G450" s="64">
        <v>0</v>
      </c>
      <c r="H450" s="74"/>
    </row>
    <row r="451" spans="1:8">
      <c r="A451" s="25" t="s">
        <v>1131</v>
      </c>
      <c r="B451" s="25" t="s">
        <v>1132</v>
      </c>
      <c r="C451" s="25" t="s">
        <v>872</v>
      </c>
      <c r="D451" s="25" t="s">
        <v>162</v>
      </c>
      <c r="E451" s="25" t="s">
        <v>100</v>
      </c>
      <c r="F451" s="62">
        <v>0</v>
      </c>
      <c r="G451" s="64">
        <v>0</v>
      </c>
      <c r="H451" s="74"/>
    </row>
    <row r="452" spans="1:8">
      <c r="A452" s="25" t="s">
        <v>1133</v>
      </c>
      <c r="B452" s="25" t="s">
        <v>1134</v>
      </c>
      <c r="C452" s="25" t="s">
        <v>872</v>
      </c>
      <c r="D452" s="25" t="s">
        <v>162</v>
      </c>
      <c r="E452" s="25" t="s">
        <v>100</v>
      </c>
      <c r="F452" s="62">
        <v>0</v>
      </c>
      <c r="G452" s="64">
        <v>0</v>
      </c>
      <c r="H452" s="74"/>
    </row>
    <row r="453" spans="1:8">
      <c r="A453" s="25" t="s">
        <v>1135</v>
      </c>
      <c r="B453" s="25" t="s">
        <v>1136</v>
      </c>
      <c r="C453" s="25" t="s">
        <v>872</v>
      </c>
      <c r="D453" s="25" t="s">
        <v>162</v>
      </c>
      <c r="E453" s="25" t="s">
        <v>100</v>
      </c>
      <c r="F453" s="62">
        <v>0</v>
      </c>
      <c r="G453" s="64">
        <v>0</v>
      </c>
      <c r="H453" s="74"/>
    </row>
    <row r="454" spans="1:8">
      <c r="A454" s="25" t="s">
        <v>1137</v>
      </c>
      <c r="B454" s="25" t="s">
        <v>1138</v>
      </c>
      <c r="C454" s="25" t="s">
        <v>872</v>
      </c>
      <c r="D454" s="25" t="s">
        <v>162</v>
      </c>
      <c r="E454" s="25" t="s">
        <v>100</v>
      </c>
      <c r="F454" s="62">
        <v>0</v>
      </c>
      <c r="G454" s="64">
        <v>0</v>
      </c>
      <c r="H454" s="74"/>
    </row>
    <row r="455" spans="1:8">
      <c r="A455" s="25" t="s">
        <v>1139</v>
      </c>
      <c r="B455" s="25" t="s">
        <v>1140</v>
      </c>
      <c r="C455" s="25" t="s">
        <v>872</v>
      </c>
      <c r="D455" s="25" t="s">
        <v>162</v>
      </c>
      <c r="E455" s="25" t="s">
        <v>100</v>
      </c>
      <c r="F455" s="62">
        <v>0</v>
      </c>
      <c r="G455" s="64">
        <v>0</v>
      </c>
      <c r="H455" s="74"/>
    </row>
    <row r="456" spans="1:8">
      <c r="A456" s="25" t="s">
        <v>1141</v>
      </c>
      <c r="B456" s="25" t="s">
        <v>1142</v>
      </c>
      <c r="C456" s="25" t="s">
        <v>872</v>
      </c>
      <c r="D456" s="25" t="s">
        <v>162</v>
      </c>
      <c r="E456" s="25" t="s">
        <v>100</v>
      </c>
      <c r="F456" s="62">
        <v>0</v>
      </c>
      <c r="G456" s="64">
        <v>0</v>
      </c>
      <c r="H456" s="74"/>
    </row>
    <row r="457" spans="1:8">
      <c r="A457" s="25" t="s">
        <v>1143</v>
      </c>
      <c r="B457" s="25" t="s">
        <v>1144</v>
      </c>
      <c r="C457" s="25" t="s">
        <v>872</v>
      </c>
      <c r="D457" s="25" t="s">
        <v>162</v>
      </c>
      <c r="E457" s="25" t="s">
        <v>100</v>
      </c>
      <c r="F457" s="62">
        <v>0</v>
      </c>
      <c r="G457" s="64">
        <v>0</v>
      </c>
      <c r="H457" s="74"/>
    </row>
    <row r="458" spans="1:8">
      <c r="A458" s="25" t="s">
        <v>1145</v>
      </c>
      <c r="B458" s="25" t="s">
        <v>1146</v>
      </c>
      <c r="C458" s="25" t="s">
        <v>872</v>
      </c>
      <c r="D458" s="25" t="s">
        <v>162</v>
      </c>
      <c r="E458" s="25" t="s">
        <v>100</v>
      </c>
      <c r="F458" s="62">
        <v>0</v>
      </c>
      <c r="G458" s="64">
        <v>0</v>
      </c>
      <c r="H458" s="74"/>
    </row>
    <row r="459" spans="1:8">
      <c r="A459" s="25" t="s">
        <v>1147</v>
      </c>
      <c r="B459" s="25" t="s">
        <v>1148</v>
      </c>
      <c r="C459" s="25" t="s">
        <v>872</v>
      </c>
      <c r="D459" s="25" t="s">
        <v>162</v>
      </c>
      <c r="E459" s="25" t="s">
        <v>100</v>
      </c>
      <c r="F459" s="62">
        <v>0</v>
      </c>
      <c r="G459" s="64">
        <v>0</v>
      </c>
      <c r="H459" s="74"/>
    </row>
    <row r="460" spans="1:8">
      <c r="A460" s="25" t="s">
        <v>1149</v>
      </c>
      <c r="B460" s="25" t="s">
        <v>1150</v>
      </c>
      <c r="C460" s="25" t="s">
        <v>872</v>
      </c>
      <c r="D460" s="25" t="s">
        <v>162</v>
      </c>
      <c r="E460" s="25" t="s">
        <v>100</v>
      </c>
      <c r="F460" s="62">
        <v>0</v>
      </c>
      <c r="G460" s="64">
        <v>0</v>
      </c>
      <c r="H460" s="74"/>
    </row>
    <row r="461" spans="1:8">
      <c r="A461" s="25" t="s">
        <v>1151</v>
      </c>
      <c r="B461" s="25" t="s">
        <v>1152</v>
      </c>
      <c r="C461" s="25" t="s">
        <v>872</v>
      </c>
      <c r="D461" s="25" t="s">
        <v>169</v>
      </c>
      <c r="E461" s="25" t="s">
        <v>1153</v>
      </c>
      <c r="F461" s="63">
        <v>78629.47</v>
      </c>
      <c r="G461" s="65">
        <f>SUM(G443:G460)</f>
        <v>-78629</v>
      </c>
      <c r="H461" s="74"/>
    </row>
    <row r="462" spans="1:8">
      <c r="A462" s="25" t="s">
        <v>1154</v>
      </c>
      <c r="B462" s="25" t="s">
        <v>1155</v>
      </c>
      <c r="C462" s="25" t="s">
        <v>872</v>
      </c>
      <c r="D462" s="25" t="s">
        <v>169</v>
      </c>
      <c r="E462" s="25" t="s">
        <v>1156</v>
      </c>
      <c r="F462" s="63">
        <v>-122683.45</v>
      </c>
      <c r="G462" s="65">
        <f>+G441+G461</f>
        <v>122684</v>
      </c>
      <c r="H462" s="74"/>
    </row>
    <row r="463" spans="1:8">
      <c r="A463" s="25" t="s">
        <v>1157</v>
      </c>
      <c r="B463" s="25" t="s">
        <v>1158</v>
      </c>
      <c r="C463" s="25" t="s">
        <v>872</v>
      </c>
      <c r="D463" s="25" t="s">
        <v>169</v>
      </c>
      <c r="E463" s="25" t="s">
        <v>1159</v>
      </c>
      <c r="F463" s="63">
        <v>-122683.45</v>
      </c>
      <c r="G463" s="65">
        <f>+G462</f>
        <v>122684</v>
      </c>
      <c r="H463" s="74"/>
    </row>
    <row r="464" spans="1:8">
      <c r="A464" s="25" t="s">
        <v>1160</v>
      </c>
      <c r="B464" s="25" t="s">
        <v>1161</v>
      </c>
      <c r="C464" s="25" t="s">
        <v>872</v>
      </c>
      <c r="D464" s="25" t="s">
        <v>157</v>
      </c>
      <c r="E464" s="25" t="s">
        <v>100</v>
      </c>
      <c r="F464" s="62">
        <v>0</v>
      </c>
      <c r="G464" s="64"/>
      <c r="H464" s="74"/>
    </row>
    <row r="465" spans="1:8">
      <c r="A465" s="25" t="s">
        <v>1162</v>
      </c>
      <c r="B465" s="25" t="s">
        <v>1163</v>
      </c>
      <c r="C465" s="25" t="s">
        <v>872</v>
      </c>
      <c r="D465" s="25" t="s">
        <v>162</v>
      </c>
      <c r="E465" s="25" t="s">
        <v>100</v>
      </c>
      <c r="F465" s="62">
        <v>0</v>
      </c>
      <c r="G465" s="64">
        <v>0</v>
      </c>
      <c r="H465" s="74"/>
    </row>
    <row r="466" spans="1:8">
      <c r="A466" s="25" t="s">
        <v>1164</v>
      </c>
      <c r="B466" s="25" t="s">
        <v>1165</v>
      </c>
      <c r="C466" s="25" t="s">
        <v>872</v>
      </c>
      <c r="D466" s="25" t="s">
        <v>162</v>
      </c>
      <c r="E466" s="25" t="s">
        <v>100</v>
      </c>
      <c r="F466" s="62">
        <v>0</v>
      </c>
      <c r="G466" s="64">
        <v>0</v>
      </c>
      <c r="H466" s="74"/>
    </row>
    <row r="467" spans="1:8">
      <c r="A467" s="25" t="s">
        <v>1166</v>
      </c>
      <c r="B467" s="25" t="s">
        <v>1167</v>
      </c>
      <c r="C467" s="25" t="s">
        <v>872</v>
      </c>
      <c r="D467" s="25" t="s">
        <v>162</v>
      </c>
      <c r="E467" s="25" t="s">
        <v>100</v>
      </c>
      <c r="F467" s="62">
        <v>-3002</v>
      </c>
      <c r="G467" s="64">
        <v>3002</v>
      </c>
      <c r="H467" s="74"/>
    </row>
    <row r="468" spans="1:8">
      <c r="A468" s="25" t="s">
        <v>1168</v>
      </c>
      <c r="B468" s="25" t="s">
        <v>1169</v>
      </c>
      <c r="C468" s="25" t="s">
        <v>872</v>
      </c>
      <c r="D468" s="25" t="s">
        <v>162</v>
      </c>
      <c r="E468" s="25" t="s">
        <v>100</v>
      </c>
      <c r="F468" s="62">
        <v>-40500</v>
      </c>
      <c r="G468" s="64">
        <v>40500</v>
      </c>
      <c r="H468" s="74"/>
    </row>
    <row r="469" spans="1:8">
      <c r="A469" s="25" t="s">
        <v>1170</v>
      </c>
      <c r="B469" s="25" t="s">
        <v>1171</v>
      </c>
      <c r="C469" s="25" t="s">
        <v>872</v>
      </c>
      <c r="D469" s="25" t="s">
        <v>162</v>
      </c>
      <c r="E469" s="25" t="s">
        <v>100</v>
      </c>
      <c r="F469" s="62">
        <v>-5970</v>
      </c>
      <c r="G469" s="64">
        <v>5970</v>
      </c>
      <c r="H469" s="74"/>
    </row>
    <row r="470" spans="1:8">
      <c r="A470" s="25" t="s">
        <v>1172</v>
      </c>
      <c r="B470" s="25" t="s">
        <v>1173</v>
      </c>
      <c r="C470" s="25" t="s">
        <v>872</v>
      </c>
      <c r="D470" s="25" t="s">
        <v>162</v>
      </c>
      <c r="E470" s="25" t="s">
        <v>100</v>
      </c>
      <c r="F470" s="62">
        <v>0</v>
      </c>
      <c r="G470" s="64">
        <v>0</v>
      </c>
      <c r="H470" s="74"/>
    </row>
    <row r="471" spans="1:8">
      <c r="A471" s="25" t="s">
        <v>1174</v>
      </c>
      <c r="B471" s="25" t="s">
        <v>1175</v>
      </c>
      <c r="C471" s="25" t="s">
        <v>872</v>
      </c>
      <c r="D471" s="25" t="s">
        <v>162</v>
      </c>
      <c r="E471" s="25" t="s">
        <v>100</v>
      </c>
      <c r="F471" s="62">
        <v>-4670</v>
      </c>
      <c r="G471" s="64">
        <v>4670</v>
      </c>
      <c r="H471" s="74"/>
    </row>
    <row r="472" spans="1:8">
      <c r="A472" s="25" t="s">
        <v>1176</v>
      </c>
      <c r="B472" s="25" t="s">
        <v>1177</v>
      </c>
      <c r="C472" s="25" t="s">
        <v>872</v>
      </c>
      <c r="D472" s="25" t="s">
        <v>162</v>
      </c>
      <c r="E472" s="25" t="s">
        <v>100</v>
      </c>
      <c r="F472" s="62">
        <v>-1392</v>
      </c>
      <c r="G472" s="64">
        <v>1392</v>
      </c>
      <c r="H472" s="74"/>
    </row>
    <row r="473" spans="1:8">
      <c r="A473" s="25" t="s">
        <v>1178</v>
      </c>
      <c r="B473" s="25" t="s">
        <v>1179</v>
      </c>
      <c r="C473" s="25" t="s">
        <v>872</v>
      </c>
      <c r="D473" s="25" t="s">
        <v>162</v>
      </c>
      <c r="E473" s="25" t="s">
        <v>100</v>
      </c>
      <c r="F473" s="62">
        <v>0</v>
      </c>
      <c r="G473" s="64">
        <v>0</v>
      </c>
      <c r="H473" s="74"/>
    </row>
    <row r="474" spans="1:8">
      <c r="A474" s="25" t="s">
        <v>1180</v>
      </c>
      <c r="B474" s="25" t="s">
        <v>1181</v>
      </c>
      <c r="C474" s="25" t="s">
        <v>872</v>
      </c>
      <c r="D474" s="25" t="s">
        <v>162</v>
      </c>
      <c r="E474" s="25" t="s">
        <v>100</v>
      </c>
      <c r="F474" s="62">
        <v>-7874.32</v>
      </c>
      <c r="G474" s="66">
        <v>7874</v>
      </c>
      <c r="H474" s="74"/>
    </row>
    <row r="475" spans="1:8">
      <c r="A475" s="25" t="s">
        <v>1182</v>
      </c>
      <c r="B475" s="25" t="s">
        <v>2222</v>
      </c>
      <c r="C475" s="25" t="s">
        <v>872</v>
      </c>
      <c r="D475" s="25" t="s">
        <v>162</v>
      </c>
      <c r="E475" s="25" t="s">
        <v>100</v>
      </c>
      <c r="F475" s="62">
        <v>49198.92</v>
      </c>
      <c r="G475" s="66">
        <v>-49199</v>
      </c>
      <c r="H475" s="74"/>
    </row>
    <row r="476" spans="1:8">
      <c r="A476" s="25" t="s">
        <v>1186</v>
      </c>
      <c r="B476" s="25" t="s">
        <v>1187</v>
      </c>
      <c r="C476" s="25" t="s">
        <v>872</v>
      </c>
      <c r="D476" s="25" t="s">
        <v>162</v>
      </c>
      <c r="E476" s="25" t="s">
        <v>100</v>
      </c>
      <c r="F476" s="62">
        <v>0</v>
      </c>
      <c r="G476" s="66">
        <v>0</v>
      </c>
      <c r="H476" s="74"/>
    </row>
    <row r="477" spans="1:8">
      <c r="A477" s="25" t="s">
        <v>1188</v>
      </c>
      <c r="B477" s="25" t="s">
        <v>2180</v>
      </c>
      <c r="C477" s="25" t="s">
        <v>872</v>
      </c>
      <c r="D477" s="25" t="s">
        <v>162</v>
      </c>
      <c r="E477" s="25" t="s">
        <v>100</v>
      </c>
      <c r="F477" s="62">
        <v>0</v>
      </c>
      <c r="G477" s="66">
        <v>0</v>
      </c>
      <c r="H477" s="74"/>
    </row>
    <row r="478" spans="1:8">
      <c r="A478" s="25" t="s">
        <v>1190</v>
      </c>
      <c r="B478" s="25" t="s">
        <v>1191</v>
      </c>
      <c r="C478" s="25" t="s">
        <v>872</v>
      </c>
      <c r="D478" s="25" t="s">
        <v>162</v>
      </c>
      <c r="E478" s="25" t="s">
        <v>100</v>
      </c>
      <c r="F478" s="62">
        <v>-402346.64</v>
      </c>
      <c r="G478" s="66">
        <v>402347</v>
      </c>
      <c r="H478" s="74"/>
    </row>
    <row r="479" spans="1:8">
      <c r="A479" s="25" t="s">
        <v>1192</v>
      </c>
      <c r="B479" s="25" t="s">
        <v>1193</v>
      </c>
      <c r="C479" s="25" t="s">
        <v>872</v>
      </c>
      <c r="D479" s="25" t="s">
        <v>162</v>
      </c>
      <c r="E479" s="25" t="s">
        <v>100</v>
      </c>
      <c r="F479" s="62">
        <v>0</v>
      </c>
      <c r="G479" s="64">
        <v>0</v>
      </c>
      <c r="H479" s="74"/>
    </row>
    <row r="480" spans="1:8">
      <c r="A480" s="25" t="s">
        <v>1194</v>
      </c>
      <c r="B480" s="25" t="s">
        <v>2181</v>
      </c>
      <c r="C480" s="25" t="s">
        <v>872</v>
      </c>
      <c r="D480" s="25" t="s">
        <v>162</v>
      </c>
      <c r="E480" s="25" t="s">
        <v>100</v>
      </c>
      <c r="F480" s="62">
        <v>0</v>
      </c>
      <c r="G480" s="64">
        <v>0</v>
      </c>
      <c r="H480" s="74"/>
    </row>
    <row r="481" spans="1:8">
      <c r="A481" s="25" t="s">
        <v>1196</v>
      </c>
      <c r="B481" s="25" t="s">
        <v>2223</v>
      </c>
      <c r="C481" s="25" t="s">
        <v>872</v>
      </c>
      <c r="D481" s="25" t="s">
        <v>162</v>
      </c>
      <c r="E481" s="25" t="s">
        <v>100</v>
      </c>
      <c r="F481" s="62">
        <v>0</v>
      </c>
      <c r="G481" s="64">
        <v>0</v>
      </c>
      <c r="H481" s="74"/>
    </row>
    <row r="482" spans="1:8">
      <c r="A482" s="25" t="s">
        <v>1200</v>
      </c>
      <c r="B482" s="25" t="s">
        <v>1201</v>
      </c>
      <c r="C482" s="25" t="s">
        <v>872</v>
      </c>
      <c r="D482" s="25" t="s">
        <v>169</v>
      </c>
      <c r="E482" s="25" t="s">
        <v>1202</v>
      </c>
      <c r="F482" s="63">
        <v>-416556.04</v>
      </c>
      <c r="G482" s="65">
        <f>SUM(G465:G481)</f>
        <v>416556</v>
      </c>
      <c r="H482" s="74"/>
    </row>
    <row r="483" spans="1:8">
      <c r="A483" s="25" t="s">
        <v>1203</v>
      </c>
      <c r="B483" s="25" t="s">
        <v>1204</v>
      </c>
      <c r="C483" s="25" t="s">
        <v>872</v>
      </c>
      <c r="D483" s="25" t="s">
        <v>157</v>
      </c>
      <c r="E483" s="25" t="s">
        <v>100</v>
      </c>
      <c r="F483" s="63">
        <v>0</v>
      </c>
      <c r="G483" s="65"/>
      <c r="H483" s="74"/>
    </row>
    <row r="484" spans="1:8">
      <c r="A484" s="25" t="s">
        <v>1205</v>
      </c>
      <c r="B484" s="25" t="s">
        <v>1206</v>
      </c>
      <c r="C484" s="25" t="s">
        <v>872</v>
      </c>
      <c r="D484" s="25" t="s">
        <v>162</v>
      </c>
      <c r="E484" s="25" t="s">
        <v>100</v>
      </c>
      <c r="F484" s="62">
        <v>-583650.69999999995</v>
      </c>
      <c r="G484" s="64">
        <v>583651</v>
      </c>
      <c r="H484" s="74">
        <f>-146006-9000-4270-47306</f>
        <v>-206582</v>
      </c>
    </row>
    <row r="485" spans="1:8">
      <c r="A485" s="25" t="s">
        <v>1207</v>
      </c>
      <c r="B485" s="25" t="s">
        <v>1208</v>
      </c>
      <c r="C485" s="25" t="s">
        <v>872</v>
      </c>
      <c r="D485" s="25" t="s">
        <v>169</v>
      </c>
      <c r="E485" s="25" t="s">
        <v>1209</v>
      </c>
      <c r="F485" s="63">
        <v>-583650.69999999995</v>
      </c>
      <c r="G485" s="65">
        <f>SUM(G484)</f>
        <v>583651</v>
      </c>
      <c r="H485" s="74"/>
    </row>
    <row r="486" spans="1:8">
      <c r="A486" s="25" t="s">
        <v>1210</v>
      </c>
      <c r="B486" s="25" t="s">
        <v>1211</v>
      </c>
      <c r="C486" s="25" t="s">
        <v>872</v>
      </c>
      <c r="D486" s="25" t="s">
        <v>157</v>
      </c>
      <c r="E486" s="25" t="s">
        <v>100</v>
      </c>
      <c r="F486" s="63">
        <v>0</v>
      </c>
      <c r="G486" s="65"/>
      <c r="H486" s="74"/>
    </row>
    <row r="487" spans="1:8">
      <c r="A487" s="25" t="s">
        <v>1212</v>
      </c>
      <c r="B487" s="25" t="s">
        <v>1213</v>
      </c>
      <c r="C487" s="25" t="s">
        <v>872</v>
      </c>
      <c r="D487" s="25" t="s">
        <v>162</v>
      </c>
      <c r="E487" s="25" t="s">
        <v>100</v>
      </c>
      <c r="F487" s="62">
        <v>24453</v>
      </c>
      <c r="G487" s="64">
        <v>-24453</v>
      </c>
      <c r="H487" s="74"/>
    </row>
    <row r="488" spans="1:8">
      <c r="A488" s="25" t="s">
        <v>1214</v>
      </c>
      <c r="B488" s="25" t="s">
        <v>1215</v>
      </c>
      <c r="C488" s="25" t="s">
        <v>872</v>
      </c>
      <c r="D488" s="25" t="s">
        <v>162</v>
      </c>
      <c r="E488" s="25" t="s">
        <v>100</v>
      </c>
      <c r="F488" s="62">
        <v>6367</v>
      </c>
      <c r="G488" s="64">
        <v>-6367</v>
      </c>
      <c r="H488" s="74"/>
    </row>
    <row r="489" spans="1:8">
      <c r="A489" s="25" t="s">
        <v>1216</v>
      </c>
      <c r="B489" s="25" t="s">
        <v>1217</v>
      </c>
      <c r="C489" s="25" t="s">
        <v>872</v>
      </c>
      <c r="D489" s="25" t="s">
        <v>162</v>
      </c>
      <c r="E489" s="25" t="s">
        <v>100</v>
      </c>
      <c r="F489" s="62">
        <v>-17593.05</v>
      </c>
      <c r="G489" s="64">
        <v>17593</v>
      </c>
      <c r="H489" s="74"/>
    </row>
    <row r="490" spans="1:8">
      <c r="A490" s="25" t="s">
        <v>1218</v>
      </c>
      <c r="B490" s="25" t="s">
        <v>1219</v>
      </c>
      <c r="C490" s="25" t="s">
        <v>872</v>
      </c>
      <c r="D490" s="25" t="s">
        <v>162</v>
      </c>
      <c r="E490" s="25" t="s">
        <v>100</v>
      </c>
      <c r="F490" s="62">
        <v>-24120</v>
      </c>
      <c r="G490" s="64">
        <v>24120</v>
      </c>
      <c r="H490" s="74"/>
    </row>
    <row r="491" spans="1:8">
      <c r="A491" s="25" t="s">
        <v>1220</v>
      </c>
      <c r="B491" s="25" t="s">
        <v>1221</v>
      </c>
      <c r="C491" s="25" t="s">
        <v>872</v>
      </c>
      <c r="D491" s="25" t="s">
        <v>162</v>
      </c>
      <c r="E491" s="25" t="s">
        <v>100</v>
      </c>
      <c r="F491" s="62">
        <v>0</v>
      </c>
      <c r="G491" s="64">
        <v>0</v>
      </c>
      <c r="H491" s="74"/>
    </row>
    <row r="492" spans="1:8">
      <c r="A492" s="25" t="s">
        <v>1222</v>
      </c>
      <c r="B492" s="25" t="s">
        <v>1223</v>
      </c>
      <c r="C492" s="25" t="s">
        <v>872</v>
      </c>
      <c r="D492" s="25" t="s">
        <v>162</v>
      </c>
      <c r="E492" s="25" t="s">
        <v>100</v>
      </c>
      <c r="F492" s="62">
        <v>-98167.7</v>
      </c>
      <c r="G492" s="64">
        <v>98168</v>
      </c>
      <c r="H492" s="74"/>
    </row>
    <row r="493" spans="1:8">
      <c r="A493" s="25" t="s">
        <v>1224</v>
      </c>
      <c r="B493" s="25" t="s">
        <v>1225</v>
      </c>
      <c r="C493" s="25" t="s">
        <v>872</v>
      </c>
      <c r="D493" s="25" t="s">
        <v>162</v>
      </c>
      <c r="E493" s="25" t="s">
        <v>100</v>
      </c>
      <c r="F493" s="62">
        <v>0</v>
      </c>
      <c r="G493" s="64">
        <v>0</v>
      </c>
      <c r="H493" s="74"/>
    </row>
    <row r="494" spans="1:8">
      <c r="A494" s="25" t="s">
        <v>1226</v>
      </c>
      <c r="B494" s="25" t="s">
        <v>1227</v>
      </c>
      <c r="C494" s="25" t="s">
        <v>872</v>
      </c>
      <c r="D494" s="25" t="s">
        <v>162</v>
      </c>
      <c r="E494" s="25" t="s">
        <v>100</v>
      </c>
      <c r="F494" s="62">
        <v>0</v>
      </c>
      <c r="G494" s="64">
        <v>0</v>
      </c>
      <c r="H494" s="74"/>
    </row>
    <row r="495" spans="1:8">
      <c r="A495" s="25" t="s">
        <v>1228</v>
      </c>
      <c r="B495" s="25" t="s">
        <v>1229</v>
      </c>
      <c r="C495" s="25" t="s">
        <v>872</v>
      </c>
      <c r="D495" s="25" t="s">
        <v>169</v>
      </c>
      <c r="E495" s="25" t="s">
        <v>1230</v>
      </c>
      <c r="F495" s="63">
        <v>-109060.75</v>
      </c>
      <c r="G495" s="65">
        <f>SUM(G487:G494)</f>
        <v>109061</v>
      </c>
      <c r="H495" s="74"/>
    </row>
    <row r="496" spans="1:8">
      <c r="A496" s="25" t="s">
        <v>1231</v>
      </c>
      <c r="B496" s="25" t="s">
        <v>1232</v>
      </c>
      <c r="C496" s="25" t="s">
        <v>872</v>
      </c>
      <c r="D496" s="25" t="s">
        <v>157</v>
      </c>
      <c r="E496" s="25" t="s">
        <v>100</v>
      </c>
      <c r="F496" s="63">
        <v>0</v>
      </c>
      <c r="G496" s="65"/>
      <c r="H496" s="74"/>
    </row>
    <row r="497" spans="1:8">
      <c r="A497" s="25" t="s">
        <v>1233</v>
      </c>
      <c r="B497" s="25" t="s">
        <v>1234</v>
      </c>
      <c r="C497" s="25" t="s">
        <v>872</v>
      </c>
      <c r="D497" s="25" t="s">
        <v>162</v>
      </c>
      <c r="E497" s="25" t="s">
        <v>100</v>
      </c>
      <c r="F497" s="62">
        <v>-3076.2</v>
      </c>
      <c r="G497" s="64">
        <v>3076</v>
      </c>
      <c r="H497" s="74"/>
    </row>
    <row r="498" spans="1:8">
      <c r="A498" s="25" t="s">
        <v>1235</v>
      </c>
      <c r="B498" s="25" t="s">
        <v>1236</v>
      </c>
      <c r="C498" s="25" t="s">
        <v>872</v>
      </c>
      <c r="D498" s="25" t="s">
        <v>162</v>
      </c>
      <c r="E498" s="25" t="s">
        <v>100</v>
      </c>
      <c r="F498" s="62">
        <v>0</v>
      </c>
      <c r="G498" s="64">
        <v>0</v>
      </c>
      <c r="H498" s="74"/>
    </row>
    <row r="499" spans="1:8">
      <c r="A499" s="25" t="s">
        <v>1237</v>
      </c>
      <c r="B499" s="25" t="s">
        <v>1238</v>
      </c>
      <c r="C499" s="25" t="s">
        <v>872</v>
      </c>
      <c r="D499" s="25" t="s">
        <v>162</v>
      </c>
      <c r="E499" s="25" t="s">
        <v>100</v>
      </c>
      <c r="F499" s="62">
        <v>-8647.9500000000007</v>
      </c>
      <c r="G499" s="64">
        <v>8648</v>
      </c>
      <c r="H499" s="74"/>
    </row>
    <row r="500" spans="1:8">
      <c r="A500" s="25" t="s">
        <v>1239</v>
      </c>
      <c r="B500" s="25" t="s">
        <v>1240</v>
      </c>
      <c r="C500" s="25" t="s">
        <v>872</v>
      </c>
      <c r="D500" s="25" t="s">
        <v>162</v>
      </c>
      <c r="E500" s="25" t="s">
        <v>100</v>
      </c>
      <c r="F500" s="62">
        <v>-417593.32</v>
      </c>
      <c r="G500" s="64">
        <v>417593</v>
      </c>
      <c r="H500" s="74">
        <v>146006</v>
      </c>
    </row>
    <row r="501" spans="1:8">
      <c r="A501" s="25" t="s">
        <v>1241</v>
      </c>
      <c r="B501" s="25" t="s">
        <v>2207</v>
      </c>
      <c r="C501" s="25" t="s">
        <v>872</v>
      </c>
      <c r="D501" s="25" t="s">
        <v>162</v>
      </c>
      <c r="E501" s="25" t="s">
        <v>100</v>
      </c>
      <c r="F501" s="62">
        <v>0</v>
      </c>
      <c r="G501" s="64">
        <v>0</v>
      </c>
      <c r="H501" s="74"/>
    </row>
    <row r="502" spans="1:8">
      <c r="A502" s="25" t="s">
        <v>1243</v>
      </c>
      <c r="B502" s="25" t="s">
        <v>1244</v>
      </c>
      <c r="C502" s="25" t="s">
        <v>872</v>
      </c>
      <c r="D502" s="25" t="s">
        <v>162</v>
      </c>
      <c r="E502" s="25" t="s">
        <v>100</v>
      </c>
      <c r="F502" s="62">
        <v>0</v>
      </c>
      <c r="G502" s="64">
        <v>0</v>
      </c>
      <c r="H502" s="74"/>
    </row>
    <row r="503" spans="1:8">
      <c r="A503" s="25" t="s">
        <v>1245</v>
      </c>
      <c r="B503" s="25" t="s">
        <v>1246</v>
      </c>
      <c r="C503" s="25" t="s">
        <v>872</v>
      </c>
      <c r="D503" s="25" t="s">
        <v>162</v>
      </c>
      <c r="E503" s="25" t="s">
        <v>100</v>
      </c>
      <c r="F503" s="62">
        <v>-142500</v>
      </c>
      <c r="G503" s="64">
        <v>142500</v>
      </c>
      <c r="H503" s="74"/>
    </row>
    <row r="504" spans="1:8">
      <c r="A504" s="25" t="s">
        <v>1247</v>
      </c>
      <c r="B504" s="25" t="s">
        <v>1248</v>
      </c>
      <c r="C504" s="25" t="s">
        <v>872</v>
      </c>
      <c r="D504" s="25" t="s">
        <v>162</v>
      </c>
      <c r="E504" s="25" t="s">
        <v>100</v>
      </c>
      <c r="F504" s="62">
        <v>0</v>
      </c>
      <c r="G504" s="64">
        <v>0</v>
      </c>
      <c r="H504" s="74"/>
    </row>
    <row r="505" spans="1:8">
      <c r="A505" s="25" t="s">
        <v>1249</v>
      </c>
      <c r="B505" s="25" t="s">
        <v>1250</v>
      </c>
      <c r="C505" s="25" t="s">
        <v>872</v>
      </c>
      <c r="D505" s="25" t="s">
        <v>169</v>
      </c>
      <c r="E505" s="25" t="s">
        <v>1251</v>
      </c>
      <c r="F505" s="63">
        <v>-571817.47</v>
      </c>
      <c r="G505" s="65">
        <f>SUM(G497:G504)</f>
        <v>571817</v>
      </c>
      <c r="H505" s="74"/>
    </row>
    <row r="506" spans="1:8">
      <c r="A506" s="25" t="s">
        <v>1252</v>
      </c>
      <c r="B506" s="25" t="s">
        <v>1253</v>
      </c>
      <c r="C506" s="25" t="s">
        <v>872</v>
      </c>
      <c r="D506" s="25" t="s">
        <v>157</v>
      </c>
      <c r="E506" s="25" t="s">
        <v>100</v>
      </c>
      <c r="F506" s="63">
        <v>0</v>
      </c>
      <c r="G506" s="67"/>
      <c r="H506" s="74"/>
    </row>
    <row r="507" spans="1:8">
      <c r="A507" s="25" t="s">
        <v>1254</v>
      </c>
      <c r="B507" s="25" t="s">
        <v>155</v>
      </c>
      <c r="C507" s="25" t="s">
        <v>872</v>
      </c>
      <c r="D507" s="25" t="s">
        <v>157</v>
      </c>
      <c r="E507" s="25" t="s">
        <v>100</v>
      </c>
      <c r="F507" s="63">
        <v>0</v>
      </c>
      <c r="G507" s="67"/>
      <c r="H507" s="74"/>
    </row>
    <row r="508" spans="1:8">
      <c r="A508" s="25" t="s">
        <v>1255</v>
      </c>
      <c r="B508" s="25" t="s">
        <v>1256</v>
      </c>
      <c r="C508" s="25" t="s">
        <v>872</v>
      </c>
      <c r="D508" s="25" t="s">
        <v>157</v>
      </c>
      <c r="E508" s="25" t="s">
        <v>100</v>
      </c>
      <c r="F508" s="63">
        <v>0</v>
      </c>
      <c r="G508" s="67"/>
      <c r="H508" s="74"/>
    </row>
    <row r="509" spans="1:8">
      <c r="A509" s="25" t="s">
        <v>1257</v>
      </c>
      <c r="B509" s="25" t="s">
        <v>1258</v>
      </c>
      <c r="C509" s="25" t="s">
        <v>872</v>
      </c>
      <c r="D509" s="25" t="s">
        <v>162</v>
      </c>
      <c r="E509" s="25" t="s">
        <v>100</v>
      </c>
      <c r="F509" s="62">
        <v>0</v>
      </c>
      <c r="G509" s="66"/>
      <c r="H509" s="74"/>
    </row>
    <row r="510" spans="1:8">
      <c r="A510" s="25" t="s">
        <v>1259</v>
      </c>
      <c r="B510" s="25" t="s">
        <v>1260</v>
      </c>
      <c r="C510" s="25" t="s">
        <v>872</v>
      </c>
      <c r="D510" s="25" t="s">
        <v>162</v>
      </c>
      <c r="E510" s="25" t="s">
        <v>100</v>
      </c>
      <c r="F510" s="62">
        <v>0</v>
      </c>
      <c r="G510" s="66"/>
      <c r="H510" s="74"/>
    </row>
    <row r="511" spans="1:8">
      <c r="A511" s="25" t="s">
        <v>1261</v>
      </c>
      <c r="B511" s="25" t="s">
        <v>1262</v>
      </c>
      <c r="C511" s="25" t="s">
        <v>872</v>
      </c>
      <c r="D511" s="25" t="s">
        <v>162</v>
      </c>
      <c r="E511" s="25" t="s">
        <v>100</v>
      </c>
      <c r="F511" s="62">
        <v>0</v>
      </c>
      <c r="G511" s="66"/>
      <c r="H511" s="74"/>
    </row>
    <row r="512" spans="1:8">
      <c r="A512" s="25" t="s">
        <v>1263</v>
      </c>
      <c r="B512" s="25" t="s">
        <v>1264</v>
      </c>
      <c r="C512" s="25" t="s">
        <v>872</v>
      </c>
      <c r="D512" s="25" t="s">
        <v>162</v>
      </c>
      <c r="E512" s="25" t="s">
        <v>100</v>
      </c>
      <c r="F512" s="62">
        <v>0</v>
      </c>
      <c r="G512" s="66"/>
      <c r="H512" s="74"/>
    </row>
    <row r="513" spans="1:8">
      <c r="A513" s="25" t="s">
        <v>1265</v>
      </c>
      <c r="B513" s="25" t="s">
        <v>1266</v>
      </c>
      <c r="C513" s="25" t="s">
        <v>872</v>
      </c>
      <c r="D513" s="25" t="s">
        <v>162</v>
      </c>
      <c r="E513" s="25" t="s">
        <v>100</v>
      </c>
      <c r="F513" s="62">
        <v>0</v>
      </c>
      <c r="G513" s="66"/>
      <c r="H513" s="74"/>
    </row>
    <row r="514" spans="1:8">
      <c r="A514" s="25" t="s">
        <v>1267</v>
      </c>
      <c r="B514" s="25" t="s">
        <v>1268</v>
      </c>
      <c r="C514" s="25" t="s">
        <v>872</v>
      </c>
      <c r="D514" s="25" t="s">
        <v>162</v>
      </c>
      <c r="E514" s="25" t="s">
        <v>100</v>
      </c>
      <c r="F514" s="62">
        <v>0</v>
      </c>
      <c r="G514" s="66"/>
      <c r="H514" s="74"/>
    </row>
    <row r="515" spans="1:8">
      <c r="A515" s="25" t="s">
        <v>1269</v>
      </c>
      <c r="B515" s="25" t="s">
        <v>1270</v>
      </c>
      <c r="C515" s="25" t="s">
        <v>872</v>
      </c>
      <c r="D515" s="25" t="s">
        <v>169</v>
      </c>
      <c r="E515" s="25" t="s">
        <v>1271</v>
      </c>
      <c r="F515" s="63">
        <v>0</v>
      </c>
      <c r="G515" s="67"/>
      <c r="H515" s="74"/>
    </row>
    <row r="516" spans="1:8">
      <c r="A516" s="25" t="s">
        <v>1272</v>
      </c>
      <c r="B516" s="25" t="s">
        <v>189</v>
      </c>
      <c r="C516" s="25" t="s">
        <v>872</v>
      </c>
      <c r="D516" s="25" t="s">
        <v>157</v>
      </c>
      <c r="E516" s="25" t="s">
        <v>100</v>
      </c>
      <c r="F516" s="63">
        <v>0</v>
      </c>
      <c r="G516" s="67"/>
      <c r="H516" s="74"/>
    </row>
    <row r="517" spans="1:8">
      <c r="A517" s="25" t="s">
        <v>1273</v>
      </c>
      <c r="B517" s="25" t="s">
        <v>1110</v>
      </c>
      <c r="C517" s="25" t="s">
        <v>872</v>
      </c>
      <c r="D517" s="25" t="s">
        <v>162</v>
      </c>
      <c r="E517" s="25" t="s">
        <v>100</v>
      </c>
      <c r="F517" s="62">
        <v>0</v>
      </c>
      <c r="G517" s="66"/>
      <c r="H517" s="74"/>
    </row>
    <row r="518" spans="1:8">
      <c r="A518" s="25" t="s">
        <v>1274</v>
      </c>
      <c r="B518" s="25" t="s">
        <v>1275</v>
      </c>
      <c r="C518" s="25" t="s">
        <v>872</v>
      </c>
      <c r="D518" s="25" t="s">
        <v>162</v>
      </c>
      <c r="E518" s="25" t="s">
        <v>100</v>
      </c>
      <c r="F518" s="62">
        <v>0</v>
      </c>
      <c r="G518" s="66"/>
      <c r="H518" s="74"/>
    </row>
    <row r="519" spans="1:8">
      <c r="A519" s="25" t="s">
        <v>1276</v>
      </c>
      <c r="B519" s="25" t="s">
        <v>1277</v>
      </c>
      <c r="C519" s="25" t="s">
        <v>872</v>
      </c>
      <c r="D519" s="25" t="s">
        <v>162</v>
      </c>
      <c r="E519" s="25" t="s">
        <v>100</v>
      </c>
      <c r="F519" s="62">
        <v>0</v>
      </c>
      <c r="G519" s="66"/>
      <c r="H519" s="74"/>
    </row>
    <row r="520" spans="1:8">
      <c r="A520" s="25" t="s">
        <v>1278</v>
      </c>
      <c r="B520" s="25" t="s">
        <v>1279</v>
      </c>
      <c r="C520" s="25" t="s">
        <v>872</v>
      </c>
      <c r="D520" s="25" t="s">
        <v>162</v>
      </c>
      <c r="E520" s="25" t="s">
        <v>100</v>
      </c>
      <c r="F520" s="62">
        <v>0</v>
      </c>
      <c r="G520" s="66"/>
      <c r="H520" s="74"/>
    </row>
    <row r="521" spans="1:8">
      <c r="A521" s="25" t="s">
        <v>1280</v>
      </c>
      <c r="B521" s="25" t="s">
        <v>2268</v>
      </c>
      <c r="C521" s="25" t="s">
        <v>872</v>
      </c>
      <c r="D521" s="25" t="s">
        <v>162</v>
      </c>
      <c r="E521" s="25" t="s">
        <v>100</v>
      </c>
      <c r="F521" s="62">
        <v>0</v>
      </c>
      <c r="G521" s="66"/>
      <c r="H521" s="74"/>
    </row>
    <row r="522" spans="1:8">
      <c r="A522" s="25" t="s">
        <v>1282</v>
      </c>
      <c r="B522" s="25" t="s">
        <v>251</v>
      </c>
      <c r="C522" s="25" t="s">
        <v>872</v>
      </c>
      <c r="D522" s="25" t="s">
        <v>169</v>
      </c>
      <c r="E522" s="25" t="s">
        <v>1283</v>
      </c>
      <c r="F522" s="63">
        <v>0</v>
      </c>
      <c r="G522" s="67"/>
      <c r="H522" s="74"/>
    </row>
    <row r="523" spans="1:8">
      <c r="A523" s="25" t="s">
        <v>1284</v>
      </c>
      <c r="B523" s="25" t="s">
        <v>278</v>
      </c>
      <c r="C523" s="25" t="s">
        <v>872</v>
      </c>
      <c r="D523" s="25" t="s">
        <v>169</v>
      </c>
      <c r="E523" s="25" t="s">
        <v>1285</v>
      </c>
      <c r="F523" s="63">
        <v>0</v>
      </c>
      <c r="G523" s="67"/>
      <c r="H523" s="74"/>
    </row>
    <row r="524" spans="1:8">
      <c r="A524" s="25" t="s">
        <v>1286</v>
      </c>
      <c r="B524" s="25" t="s">
        <v>281</v>
      </c>
      <c r="C524" s="25" t="s">
        <v>872</v>
      </c>
      <c r="D524" s="25" t="s">
        <v>157</v>
      </c>
      <c r="E524" s="25" t="s">
        <v>100</v>
      </c>
      <c r="F524" s="63">
        <v>0</v>
      </c>
      <c r="G524" s="67"/>
      <c r="H524" s="74"/>
    </row>
    <row r="525" spans="1:8">
      <c r="A525" s="25" t="s">
        <v>1287</v>
      </c>
      <c r="B525" s="25" t="s">
        <v>1288</v>
      </c>
      <c r="C525" s="25" t="s">
        <v>872</v>
      </c>
      <c r="D525" s="25" t="s">
        <v>157</v>
      </c>
      <c r="E525" s="25" t="s">
        <v>100</v>
      </c>
      <c r="F525" s="63">
        <v>0</v>
      </c>
      <c r="G525" s="67"/>
      <c r="H525" s="74"/>
    </row>
    <row r="526" spans="1:8">
      <c r="A526" s="25" t="s">
        <v>1289</v>
      </c>
      <c r="B526" s="25" t="s">
        <v>47</v>
      </c>
      <c r="C526" s="25" t="s">
        <v>872</v>
      </c>
      <c r="D526" s="25" t="s">
        <v>162</v>
      </c>
      <c r="E526" s="25" t="s">
        <v>100</v>
      </c>
      <c r="F526" s="62">
        <v>495075.43</v>
      </c>
      <c r="G526" s="68"/>
      <c r="H526" s="73"/>
    </row>
    <row r="527" spans="1:8">
      <c r="A527" s="25" t="s">
        <v>1290</v>
      </c>
      <c r="B527" s="25" t="s">
        <v>1219</v>
      </c>
      <c r="C527" s="25" t="s">
        <v>872</v>
      </c>
      <c r="D527" s="25" t="s">
        <v>162</v>
      </c>
      <c r="E527" s="25" t="s">
        <v>100</v>
      </c>
      <c r="F527" s="62">
        <v>0</v>
      </c>
      <c r="G527" s="68"/>
      <c r="H527" s="73"/>
    </row>
    <row r="528" spans="1:8">
      <c r="A528" s="25" t="s">
        <v>1292</v>
      </c>
      <c r="B528" s="25" t="s">
        <v>1293</v>
      </c>
      <c r="C528" s="25" t="s">
        <v>872</v>
      </c>
      <c r="D528" s="25" t="s">
        <v>162</v>
      </c>
      <c r="E528" s="25" t="s">
        <v>100</v>
      </c>
      <c r="F528" s="62">
        <v>21271.79</v>
      </c>
      <c r="G528" s="68"/>
      <c r="H528" s="73"/>
    </row>
    <row r="529" spans="1:8">
      <c r="A529" s="25" t="s">
        <v>1294</v>
      </c>
      <c r="B529" s="25" t="s">
        <v>1295</v>
      </c>
      <c r="C529" s="25" t="s">
        <v>872</v>
      </c>
      <c r="D529" s="25" t="s">
        <v>162</v>
      </c>
      <c r="E529" s="25" t="s">
        <v>100</v>
      </c>
      <c r="F529" s="62">
        <v>1019.55</v>
      </c>
      <c r="G529" s="68"/>
      <c r="H529" s="73"/>
    </row>
    <row r="530" spans="1:8">
      <c r="A530" s="25" t="s">
        <v>1296</v>
      </c>
      <c r="B530" s="25" t="s">
        <v>1297</v>
      </c>
      <c r="C530" s="25" t="s">
        <v>872</v>
      </c>
      <c r="D530" s="25" t="s">
        <v>162</v>
      </c>
      <c r="E530" s="25" t="s">
        <v>100</v>
      </c>
      <c r="F530" s="62">
        <v>0</v>
      </c>
      <c r="G530" s="68"/>
      <c r="H530" s="73"/>
    </row>
    <row r="531" spans="1:8">
      <c r="A531" s="25" t="s">
        <v>1298</v>
      </c>
      <c r="B531" s="25" t="s">
        <v>1299</v>
      </c>
      <c r="C531" s="25" t="s">
        <v>872</v>
      </c>
      <c r="D531" s="25" t="s">
        <v>162</v>
      </c>
      <c r="E531" s="25" t="s">
        <v>100</v>
      </c>
      <c r="F531" s="62">
        <v>1590.5</v>
      </c>
      <c r="G531" s="68"/>
      <c r="H531" s="73"/>
    </row>
    <row r="532" spans="1:8">
      <c r="A532" s="25" t="s">
        <v>1300</v>
      </c>
      <c r="B532" s="25" t="s">
        <v>1301</v>
      </c>
      <c r="C532" s="25" t="s">
        <v>872</v>
      </c>
      <c r="D532" s="25" t="s">
        <v>162</v>
      </c>
      <c r="E532" s="25" t="s">
        <v>100</v>
      </c>
      <c r="F532" s="62">
        <v>0</v>
      </c>
      <c r="G532" s="68"/>
      <c r="H532" s="73"/>
    </row>
    <row r="533" spans="1:8">
      <c r="A533" s="25" t="s">
        <v>1302</v>
      </c>
      <c r="B533" s="25" t="s">
        <v>1303</v>
      </c>
      <c r="C533" s="25" t="s">
        <v>872</v>
      </c>
      <c r="D533" s="25" t="s">
        <v>162</v>
      </c>
      <c r="E533" s="25" t="s">
        <v>100</v>
      </c>
      <c r="F533" s="62">
        <v>98877.25</v>
      </c>
      <c r="G533" s="68"/>
      <c r="H533" s="73"/>
    </row>
    <row r="534" spans="1:8">
      <c r="A534" s="25" t="s">
        <v>1304</v>
      </c>
      <c r="B534" s="25" t="s">
        <v>664</v>
      </c>
      <c r="C534" s="25" t="s">
        <v>872</v>
      </c>
      <c r="D534" s="25" t="s">
        <v>162</v>
      </c>
      <c r="E534" s="25" t="s">
        <v>100</v>
      </c>
      <c r="F534" s="62">
        <v>74447.92</v>
      </c>
      <c r="G534" s="68"/>
      <c r="H534" s="73"/>
    </row>
    <row r="535" spans="1:8">
      <c r="A535" s="25" t="s">
        <v>1305</v>
      </c>
      <c r="B535" s="25" t="s">
        <v>1306</v>
      </c>
      <c r="C535" s="25" t="s">
        <v>872</v>
      </c>
      <c r="D535" s="25" t="s">
        <v>162</v>
      </c>
      <c r="E535" s="25" t="s">
        <v>100</v>
      </c>
      <c r="F535" s="62">
        <v>31602.73</v>
      </c>
      <c r="G535" s="68"/>
      <c r="H535" s="73"/>
    </row>
    <row r="536" spans="1:8">
      <c r="A536" s="25" t="s">
        <v>1307</v>
      </c>
      <c r="B536" s="25" t="s">
        <v>1308</v>
      </c>
      <c r="C536" s="25" t="s">
        <v>872</v>
      </c>
      <c r="D536" s="25" t="s">
        <v>162</v>
      </c>
      <c r="E536" s="25" t="s">
        <v>100</v>
      </c>
      <c r="F536" s="62">
        <v>66880.570000000007</v>
      </c>
      <c r="G536" s="68"/>
      <c r="H536" s="73"/>
    </row>
    <row r="537" spans="1:8">
      <c r="A537" s="25" t="s">
        <v>1309</v>
      </c>
      <c r="B537" s="25" t="s">
        <v>1310</v>
      </c>
      <c r="C537" s="25" t="s">
        <v>872</v>
      </c>
      <c r="D537" s="25" t="s">
        <v>162</v>
      </c>
      <c r="E537" s="25" t="s">
        <v>100</v>
      </c>
      <c r="F537" s="62">
        <v>0</v>
      </c>
      <c r="G537" s="68"/>
      <c r="H537" s="73"/>
    </row>
    <row r="538" spans="1:8">
      <c r="A538" s="25" t="s">
        <v>1311</v>
      </c>
      <c r="B538" s="25" t="s">
        <v>1312</v>
      </c>
      <c r="C538" s="25" t="s">
        <v>872</v>
      </c>
      <c r="D538" s="25" t="s">
        <v>162</v>
      </c>
      <c r="E538" s="25" t="s">
        <v>100</v>
      </c>
      <c r="F538" s="62">
        <v>4127.5</v>
      </c>
      <c r="G538" s="68"/>
      <c r="H538" s="73"/>
    </row>
    <row r="539" spans="1:8">
      <c r="A539" s="25" t="s">
        <v>1313</v>
      </c>
      <c r="B539" s="25" t="s">
        <v>1314</v>
      </c>
      <c r="C539" s="25" t="s">
        <v>872</v>
      </c>
      <c r="D539" s="25" t="s">
        <v>162</v>
      </c>
      <c r="E539" s="25" t="s">
        <v>100</v>
      </c>
      <c r="F539" s="62">
        <v>45939.15</v>
      </c>
      <c r="G539" s="68"/>
      <c r="H539" s="73"/>
    </row>
    <row r="540" spans="1:8">
      <c r="A540" s="25" t="s">
        <v>1315</v>
      </c>
      <c r="B540" s="25" t="s">
        <v>1316</v>
      </c>
      <c r="C540" s="25" t="s">
        <v>872</v>
      </c>
      <c r="D540" s="25" t="s">
        <v>162</v>
      </c>
      <c r="E540" s="25" t="s">
        <v>100</v>
      </c>
      <c r="F540" s="62">
        <v>0</v>
      </c>
      <c r="G540" s="68"/>
      <c r="H540" s="73"/>
    </row>
    <row r="541" spans="1:8">
      <c r="A541" s="25" t="s">
        <v>1317</v>
      </c>
      <c r="B541" s="25" t="s">
        <v>88</v>
      </c>
      <c r="C541" s="25" t="s">
        <v>872</v>
      </c>
      <c r="D541" s="25" t="s">
        <v>162</v>
      </c>
      <c r="E541" s="25" t="s">
        <v>100</v>
      </c>
      <c r="F541" s="62">
        <v>0</v>
      </c>
      <c r="G541" s="68"/>
      <c r="H541" s="73"/>
    </row>
    <row r="542" spans="1:8">
      <c r="A542" s="25" t="s">
        <v>1319</v>
      </c>
      <c r="B542" s="25" t="s">
        <v>1320</v>
      </c>
      <c r="C542" s="25" t="s">
        <v>872</v>
      </c>
      <c r="D542" s="25" t="s">
        <v>169</v>
      </c>
      <c r="E542" s="25" t="s">
        <v>1321</v>
      </c>
      <c r="F542" s="63">
        <v>840832.39</v>
      </c>
      <c r="G542" s="69"/>
      <c r="H542" s="73"/>
    </row>
    <row r="543" spans="1:8">
      <c r="A543" s="25" t="s">
        <v>1322</v>
      </c>
      <c r="B543" s="25" t="s">
        <v>1323</v>
      </c>
      <c r="C543" s="25" t="s">
        <v>872</v>
      </c>
      <c r="D543" s="25" t="s">
        <v>157</v>
      </c>
      <c r="E543" s="25" t="s">
        <v>100</v>
      </c>
      <c r="F543" s="63">
        <v>0</v>
      </c>
      <c r="G543" s="69"/>
      <c r="H543" s="73"/>
    </row>
    <row r="544" spans="1:8">
      <c r="A544" s="25" t="s">
        <v>1324</v>
      </c>
      <c r="B544" s="25" t="s">
        <v>1325</v>
      </c>
      <c r="C544" s="25" t="s">
        <v>872</v>
      </c>
      <c r="D544" s="25" t="s">
        <v>162</v>
      </c>
      <c r="E544" s="25" t="s">
        <v>100</v>
      </c>
      <c r="F544" s="62">
        <v>170112.87</v>
      </c>
      <c r="G544" s="68"/>
      <c r="H544" s="73"/>
    </row>
    <row r="545" spans="1:8">
      <c r="A545" s="25" t="s">
        <v>1326</v>
      </c>
      <c r="B545" s="25" t="s">
        <v>1327</v>
      </c>
      <c r="C545" s="25" t="s">
        <v>872</v>
      </c>
      <c r="D545" s="25" t="s">
        <v>162</v>
      </c>
      <c r="E545" s="25" t="s">
        <v>100</v>
      </c>
      <c r="F545" s="62">
        <v>0</v>
      </c>
      <c r="G545" s="68"/>
      <c r="H545" s="73"/>
    </row>
    <row r="546" spans="1:8">
      <c r="A546" s="25" t="s">
        <v>1328</v>
      </c>
      <c r="B546" s="25" t="s">
        <v>1329</v>
      </c>
      <c r="C546" s="25" t="s">
        <v>872</v>
      </c>
      <c r="D546" s="25" t="s">
        <v>162</v>
      </c>
      <c r="E546" s="25" t="s">
        <v>100</v>
      </c>
      <c r="F546" s="62">
        <v>0</v>
      </c>
      <c r="G546" s="68"/>
      <c r="H546" s="73"/>
    </row>
    <row r="547" spans="1:8">
      <c r="A547" s="25" t="s">
        <v>1330</v>
      </c>
      <c r="B547" s="25" t="s">
        <v>1331</v>
      </c>
      <c r="C547" s="25" t="s">
        <v>872</v>
      </c>
      <c r="D547" s="25" t="s">
        <v>162</v>
      </c>
      <c r="E547" s="25" t="s">
        <v>100</v>
      </c>
      <c r="F547" s="62">
        <v>3692.24</v>
      </c>
      <c r="G547" s="68"/>
      <c r="H547" s="73"/>
    </row>
    <row r="548" spans="1:8">
      <c r="A548" s="25" t="s">
        <v>1332</v>
      </c>
      <c r="B548" s="25" t="s">
        <v>1333</v>
      </c>
      <c r="C548" s="25" t="s">
        <v>872</v>
      </c>
      <c r="D548" s="25" t="s">
        <v>169</v>
      </c>
      <c r="E548" s="25" t="s">
        <v>1334</v>
      </c>
      <c r="F548" s="63">
        <v>173805.11</v>
      </c>
      <c r="G548" s="69"/>
      <c r="H548" s="73"/>
    </row>
    <row r="549" spans="1:8">
      <c r="A549" s="25" t="s">
        <v>1335</v>
      </c>
      <c r="B549" s="25" t="s">
        <v>1336</v>
      </c>
      <c r="C549" s="25" t="s">
        <v>872</v>
      </c>
      <c r="D549" s="25" t="s">
        <v>157</v>
      </c>
      <c r="E549" s="25" t="s">
        <v>100</v>
      </c>
      <c r="F549" s="63">
        <v>0</v>
      </c>
      <c r="G549" s="69"/>
      <c r="H549" s="73"/>
    </row>
    <row r="550" spans="1:8">
      <c r="A550" s="25" t="s">
        <v>1337</v>
      </c>
      <c r="B550" s="25" t="s">
        <v>1338</v>
      </c>
      <c r="C550" s="25" t="s">
        <v>872</v>
      </c>
      <c r="D550" s="25" t="s">
        <v>162</v>
      </c>
      <c r="E550" s="25" t="s">
        <v>100</v>
      </c>
      <c r="F550" s="62">
        <v>0</v>
      </c>
      <c r="G550" s="68"/>
      <c r="H550" s="73"/>
    </row>
    <row r="551" spans="1:8">
      <c r="A551" s="25" t="s">
        <v>1339</v>
      </c>
      <c r="B551" s="25" t="s">
        <v>1340</v>
      </c>
      <c r="C551" s="25" t="s">
        <v>872</v>
      </c>
      <c r="D551" s="25" t="s">
        <v>162</v>
      </c>
      <c r="E551" s="25" t="s">
        <v>100</v>
      </c>
      <c r="F551" s="62">
        <v>49660.5</v>
      </c>
      <c r="G551" s="68"/>
      <c r="H551" s="73"/>
    </row>
    <row r="552" spans="1:8">
      <c r="A552" s="25" t="s">
        <v>1341</v>
      </c>
      <c r="B552" s="25" t="s">
        <v>1342</v>
      </c>
      <c r="C552" s="25" t="s">
        <v>872</v>
      </c>
      <c r="D552" s="25" t="s">
        <v>162</v>
      </c>
      <c r="E552" s="25" t="s">
        <v>100</v>
      </c>
      <c r="F552" s="62">
        <v>0</v>
      </c>
      <c r="G552" s="68"/>
      <c r="H552" s="73"/>
    </row>
    <row r="553" spans="1:8">
      <c r="A553" s="25" t="s">
        <v>1343</v>
      </c>
      <c r="B553" s="25" t="s">
        <v>1344</v>
      </c>
      <c r="C553" s="25" t="s">
        <v>872</v>
      </c>
      <c r="D553" s="25" t="s">
        <v>162</v>
      </c>
      <c r="E553" s="25" t="s">
        <v>100</v>
      </c>
      <c r="F553" s="62">
        <v>0</v>
      </c>
      <c r="G553" s="68"/>
      <c r="H553" s="73"/>
    </row>
    <row r="554" spans="1:8">
      <c r="A554" s="25" t="s">
        <v>1345</v>
      </c>
      <c r="B554" s="25" t="s">
        <v>1346</v>
      </c>
      <c r="C554" s="25" t="s">
        <v>872</v>
      </c>
      <c r="D554" s="25" t="s">
        <v>162</v>
      </c>
      <c r="E554" s="25" t="s">
        <v>100</v>
      </c>
      <c r="F554" s="62">
        <v>0</v>
      </c>
      <c r="G554" s="68"/>
      <c r="H554" s="73"/>
    </row>
    <row r="555" spans="1:8">
      <c r="A555" s="25" t="s">
        <v>1347</v>
      </c>
      <c r="B555" s="25" t="s">
        <v>1348</v>
      </c>
      <c r="C555" s="25" t="s">
        <v>872</v>
      </c>
      <c r="D555" s="25" t="s">
        <v>162</v>
      </c>
      <c r="E555" s="25" t="s">
        <v>100</v>
      </c>
      <c r="F555" s="62">
        <v>0</v>
      </c>
      <c r="G555" s="68"/>
      <c r="H555" s="73"/>
    </row>
    <row r="556" spans="1:8">
      <c r="A556" s="25" t="s">
        <v>1349</v>
      </c>
      <c r="B556" s="25" t="s">
        <v>1350</v>
      </c>
      <c r="C556" s="25" t="s">
        <v>872</v>
      </c>
      <c r="D556" s="25" t="s">
        <v>162</v>
      </c>
      <c r="E556" s="25" t="s">
        <v>100</v>
      </c>
      <c r="F556" s="62">
        <v>0</v>
      </c>
      <c r="G556" s="68"/>
      <c r="H556" s="73"/>
    </row>
    <row r="557" spans="1:8">
      <c r="A557" s="25" t="s">
        <v>1351</v>
      </c>
      <c r="B557" s="25" t="s">
        <v>1352</v>
      </c>
      <c r="C557" s="25" t="s">
        <v>872</v>
      </c>
      <c r="D557" s="25" t="s">
        <v>162</v>
      </c>
      <c r="E557" s="25" t="s">
        <v>100</v>
      </c>
      <c r="F557" s="62">
        <v>0</v>
      </c>
      <c r="G557" s="68"/>
      <c r="H557" s="73"/>
    </row>
    <row r="558" spans="1:8">
      <c r="A558" s="25" t="s">
        <v>1353</v>
      </c>
      <c r="B558" s="25" t="s">
        <v>1354</v>
      </c>
      <c r="C558" s="25" t="s">
        <v>872</v>
      </c>
      <c r="D558" s="25" t="s">
        <v>162</v>
      </c>
      <c r="E558" s="25" t="s">
        <v>100</v>
      </c>
      <c r="F558" s="62">
        <v>0</v>
      </c>
      <c r="G558" s="68"/>
      <c r="H558" s="73"/>
    </row>
    <row r="559" spans="1:8">
      <c r="A559" s="25" t="s">
        <v>1355</v>
      </c>
      <c r="B559" s="25" t="s">
        <v>1356</v>
      </c>
      <c r="C559" s="25" t="s">
        <v>872</v>
      </c>
      <c r="D559" s="25" t="s">
        <v>162</v>
      </c>
      <c r="E559" s="25" t="s">
        <v>100</v>
      </c>
      <c r="F559" s="62">
        <v>0</v>
      </c>
      <c r="G559" s="68"/>
      <c r="H559" s="73"/>
    </row>
    <row r="560" spans="1:8">
      <c r="A560" s="25" t="s">
        <v>1357</v>
      </c>
      <c r="B560" s="25" t="s">
        <v>1358</v>
      </c>
      <c r="C560" s="25" t="s">
        <v>872</v>
      </c>
      <c r="D560" s="25" t="s">
        <v>162</v>
      </c>
      <c r="E560" s="25" t="s">
        <v>100</v>
      </c>
      <c r="F560" s="62">
        <v>0</v>
      </c>
      <c r="G560" s="68"/>
      <c r="H560" s="73"/>
    </row>
    <row r="561" spans="1:8">
      <c r="A561" s="25" t="s">
        <v>1359</v>
      </c>
      <c r="B561" s="25" t="s">
        <v>1360</v>
      </c>
      <c r="C561" s="25" t="s">
        <v>872</v>
      </c>
      <c r="D561" s="25" t="s">
        <v>162</v>
      </c>
      <c r="E561" s="25" t="s">
        <v>100</v>
      </c>
      <c r="F561" s="62">
        <v>0</v>
      </c>
      <c r="G561" s="68"/>
      <c r="H561" s="73"/>
    </row>
    <row r="562" spans="1:8">
      <c r="A562" s="25" t="s">
        <v>1361</v>
      </c>
      <c r="B562" s="25" t="s">
        <v>1362</v>
      </c>
      <c r="C562" s="25" t="s">
        <v>872</v>
      </c>
      <c r="D562" s="25" t="s">
        <v>162</v>
      </c>
      <c r="E562" s="25" t="s">
        <v>100</v>
      </c>
      <c r="F562" s="62">
        <v>28426.77</v>
      </c>
      <c r="G562" s="68"/>
      <c r="H562" s="73"/>
    </row>
    <row r="563" spans="1:8">
      <c r="A563" s="25" t="s">
        <v>1363</v>
      </c>
      <c r="B563" s="25" t="s">
        <v>1364</v>
      </c>
      <c r="C563" s="25" t="s">
        <v>872</v>
      </c>
      <c r="D563" s="25" t="s">
        <v>162</v>
      </c>
      <c r="E563" s="25" t="s">
        <v>100</v>
      </c>
      <c r="F563" s="62">
        <v>0</v>
      </c>
      <c r="G563" s="68"/>
      <c r="H563" s="73"/>
    </row>
    <row r="564" spans="1:8">
      <c r="A564" s="25" t="s">
        <v>1365</v>
      </c>
      <c r="B564" s="25" t="s">
        <v>2269</v>
      </c>
      <c r="C564" s="25" t="s">
        <v>872</v>
      </c>
      <c r="D564" s="25" t="s">
        <v>162</v>
      </c>
      <c r="E564" s="25" t="s">
        <v>100</v>
      </c>
      <c r="F564" s="62">
        <v>0</v>
      </c>
      <c r="G564" s="68"/>
      <c r="H564" s="73"/>
    </row>
    <row r="565" spans="1:8">
      <c r="A565" s="25" t="s">
        <v>1367</v>
      </c>
      <c r="B565" s="25" t="s">
        <v>495</v>
      </c>
      <c r="C565" s="25" t="s">
        <v>872</v>
      </c>
      <c r="D565" s="25" t="s">
        <v>162</v>
      </c>
      <c r="E565" s="25" t="s">
        <v>100</v>
      </c>
      <c r="F565" s="62">
        <v>0</v>
      </c>
      <c r="G565" s="68"/>
      <c r="H565" s="73"/>
    </row>
    <row r="566" spans="1:8">
      <c r="A566" s="25" t="s">
        <v>1368</v>
      </c>
      <c r="B566" s="25" t="s">
        <v>1369</v>
      </c>
      <c r="C566" s="25" t="s">
        <v>872</v>
      </c>
      <c r="D566" s="25" t="s">
        <v>162</v>
      </c>
      <c r="E566" s="25" t="s">
        <v>100</v>
      </c>
      <c r="F566" s="62">
        <v>0</v>
      </c>
      <c r="G566" s="68"/>
      <c r="H566" s="73"/>
    </row>
    <row r="567" spans="1:8">
      <c r="A567" s="25" t="s">
        <v>1370</v>
      </c>
      <c r="B567" s="25" t="s">
        <v>1301</v>
      </c>
      <c r="C567" s="25" t="s">
        <v>872</v>
      </c>
      <c r="D567" s="25" t="s">
        <v>162</v>
      </c>
      <c r="E567" s="25" t="s">
        <v>100</v>
      </c>
      <c r="F567" s="62">
        <v>0</v>
      </c>
      <c r="G567" s="68"/>
      <c r="H567" s="73"/>
    </row>
    <row r="568" spans="1:8">
      <c r="A568" s="25" t="s">
        <v>1371</v>
      </c>
      <c r="B568" s="25" t="s">
        <v>1372</v>
      </c>
      <c r="C568" s="25" t="s">
        <v>872</v>
      </c>
      <c r="D568" s="25" t="s">
        <v>162</v>
      </c>
      <c r="E568" s="25" t="s">
        <v>100</v>
      </c>
      <c r="F568" s="62">
        <v>0</v>
      </c>
      <c r="G568" s="68"/>
      <c r="H568" s="73"/>
    </row>
    <row r="569" spans="1:8">
      <c r="A569" s="25" t="s">
        <v>1373</v>
      </c>
      <c r="B569" s="25" t="s">
        <v>1374</v>
      </c>
      <c r="C569" s="25" t="s">
        <v>872</v>
      </c>
      <c r="D569" s="25" t="s">
        <v>169</v>
      </c>
      <c r="E569" s="25" t="s">
        <v>1375</v>
      </c>
      <c r="F569" s="63">
        <v>78087.27</v>
      </c>
      <c r="G569" s="69"/>
      <c r="H569" s="73"/>
    </row>
    <row r="570" spans="1:8">
      <c r="A570" s="25" t="s">
        <v>1376</v>
      </c>
      <c r="B570" s="25" t="s">
        <v>1377</v>
      </c>
      <c r="C570" s="25" t="s">
        <v>872</v>
      </c>
      <c r="D570" s="25" t="s">
        <v>157</v>
      </c>
      <c r="E570" s="25" t="s">
        <v>100</v>
      </c>
      <c r="F570" s="63">
        <v>0</v>
      </c>
      <c r="G570" s="69"/>
      <c r="H570" s="73"/>
    </row>
    <row r="571" spans="1:8">
      <c r="A571" s="25" t="s">
        <v>1378</v>
      </c>
      <c r="B571" s="25" t="s">
        <v>2270</v>
      </c>
      <c r="C571" s="25" t="s">
        <v>872</v>
      </c>
      <c r="D571" s="25" t="s">
        <v>162</v>
      </c>
      <c r="E571" s="25" t="s">
        <v>100</v>
      </c>
      <c r="F571" s="62">
        <v>0</v>
      </c>
      <c r="G571" s="68"/>
      <c r="H571" s="73"/>
    </row>
    <row r="572" spans="1:8">
      <c r="A572" s="25" t="s">
        <v>1380</v>
      </c>
      <c r="B572" s="25" t="s">
        <v>1381</v>
      </c>
      <c r="C572" s="25" t="s">
        <v>872</v>
      </c>
      <c r="D572" s="25" t="s">
        <v>169</v>
      </c>
      <c r="E572" s="25" t="s">
        <v>1382</v>
      </c>
      <c r="F572" s="63">
        <v>0</v>
      </c>
      <c r="G572" s="69"/>
      <c r="H572" s="73"/>
    </row>
    <row r="573" spans="1:8">
      <c r="A573" s="25" t="s">
        <v>1383</v>
      </c>
      <c r="B573" s="25" t="s">
        <v>1384</v>
      </c>
      <c r="C573" s="25" t="s">
        <v>872</v>
      </c>
      <c r="D573" s="25" t="s">
        <v>157</v>
      </c>
      <c r="E573" s="25" t="s">
        <v>100</v>
      </c>
      <c r="F573" s="63">
        <v>0</v>
      </c>
      <c r="G573" s="69"/>
      <c r="H573" s="73"/>
    </row>
    <row r="574" spans="1:8">
      <c r="A574" s="25" t="s">
        <v>1385</v>
      </c>
      <c r="B574" s="25" t="s">
        <v>1386</v>
      </c>
      <c r="C574" s="25" t="s">
        <v>872</v>
      </c>
      <c r="D574" s="25" t="s">
        <v>162</v>
      </c>
      <c r="E574" s="25" t="s">
        <v>100</v>
      </c>
      <c r="F574" s="62">
        <v>0</v>
      </c>
      <c r="G574" s="68"/>
      <c r="H574" s="73"/>
    </row>
    <row r="575" spans="1:8">
      <c r="A575" s="25" t="s">
        <v>1387</v>
      </c>
      <c r="B575" s="25" t="s">
        <v>1388</v>
      </c>
      <c r="C575" s="25" t="s">
        <v>872</v>
      </c>
      <c r="D575" s="25" t="s">
        <v>162</v>
      </c>
      <c r="E575" s="25" t="s">
        <v>100</v>
      </c>
      <c r="F575" s="62">
        <v>0</v>
      </c>
      <c r="G575" s="68"/>
      <c r="H575" s="73"/>
    </row>
    <row r="576" spans="1:8">
      <c r="A576" s="25" t="s">
        <v>1389</v>
      </c>
      <c r="B576" s="25" t="s">
        <v>1390</v>
      </c>
      <c r="C576" s="25" t="s">
        <v>872</v>
      </c>
      <c r="D576" s="25" t="s">
        <v>162</v>
      </c>
      <c r="E576" s="25" t="s">
        <v>100</v>
      </c>
      <c r="F576" s="62">
        <v>0</v>
      </c>
      <c r="G576" s="68"/>
      <c r="H576" s="73"/>
    </row>
    <row r="577" spans="1:9">
      <c r="A577" s="25" t="s">
        <v>1391</v>
      </c>
      <c r="B577" s="25" t="s">
        <v>1392</v>
      </c>
      <c r="C577" s="25" t="s">
        <v>872</v>
      </c>
      <c r="D577" s="25" t="s">
        <v>169</v>
      </c>
      <c r="E577" s="25" t="s">
        <v>1393</v>
      </c>
      <c r="F577" s="63">
        <v>0</v>
      </c>
      <c r="G577" s="69"/>
      <c r="H577" s="73"/>
    </row>
    <row r="578" spans="1:9">
      <c r="A578" s="25" t="s">
        <v>1394</v>
      </c>
      <c r="B578" s="25" t="s">
        <v>1152</v>
      </c>
      <c r="C578" s="25" t="s">
        <v>872</v>
      </c>
      <c r="D578" s="25" t="s">
        <v>169</v>
      </c>
      <c r="E578" s="25" t="s">
        <v>1395</v>
      </c>
      <c r="F578" s="63">
        <v>1092724.77</v>
      </c>
      <c r="G578" s="69"/>
      <c r="H578" s="73"/>
    </row>
    <row r="579" spans="1:9">
      <c r="A579" s="25" t="s">
        <v>1396</v>
      </c>
      <c r="B579" s="25" t="s">
        <v>1397</v>
      </c>
      <c r="C579" s="25" t="s">
        <v>872</v>
      </c>
      <c r="D579" s="25" t="s">
        <v>169</v>
      </c>
      <c r="E579" s="25" t="s">
        <v>1398</v>
      </c>
      <c r="F579" s="63">
        <v>1092724.77</v>
      </c>
      <c r="G579" s="69">
        <v>1092725</v>
      </c>
      <c r="H579" s="73"/>
    </row>
    <row r="580" spans="1:9">
      <c r="A580" s="25" t="s">
        <v>1399</v>
      </c>
      <c r="B580" s="25" t="s">
        <v>1400</v>
      </c>
      <c r="C580" s="25" t="s">
        <v>872</v>
      </c>
      <c r="D580" s="25" t="s">
        <v>157</v>
      </c>
      <c r="E580" s="25" t="s">
        <v>100</v>
      </c>
      <c r="F580" s="62">
        <v>0</v>
      </c>
      <c r="G580" s="64"/>
      <c r="H580" s="74"/>
    </row>
    <row r="581" spans="1:9">
      <c r="A581" s="25" t="s">
        <v>1401</v>
      </c>
      <c r="B581" s="25" t="s">
        <v>1402</v>
      </c>
      <c r="C581" s="25" t="s">
        <v>872</v>
      </c>
      <c r="D581" s="25" t="s">
        <v>162</v>
      </c>
      <c r="E581" s="25" t="s">
        <v>100</v>
      </c>
      <c r="F581" s="62">
        <v>0</v>
      </c>
      <c r="G581" s="64">
        <v>0</v>
      </c>
      <c r="H581" s="74"/>
    </row>
    <row r="582" spans="1:9">
      <c r="A582" s="25" t="s">
        <v>1403</v>
      </c>
      <c r="B582" s="25" t="s">
        <v>1404</v>
      </c>
      <c r="C582" s="25" t="s">
        <v>872</v>
      </c>
      <c r="D582" s="25" t="s">
        <v>162</v>
      </c>
      <c r="E582" s="25" t="s">
        <v>100</v>
      </c>
      <c r="F582" s="62">
        <v>0</v>
      </c>
      <c r="G582" s="64">
        <v>0</v>
      </c>
      <c r="H582" s="74"/>
    </row>
    <row r="583" spans="1:9">
      <c r="A583" s="25" t="s">
        <v>1405</v>
      </c>
      <c r="B583" s="25" t="s">
        <v>1406</v>
      </c>
      <c r="C583" s="25" t="s">
        <v>872</v>
      </c>
      <c r="D583" s="25" t="s">
        <v>162</v>
      </c>
      <c r="E583" s="25" t="s">
        <v>100</v>
      </c>
      <c r="F583" s="62">
        <v>-6509.24</v>
      </c>
      <c r="G583" s="64">
        <v>6509</v>
      </c>
      <c r="H583" s="74"/>
    </row>
    <row r="584" spans="1:9">
      <c r="A584" s="25" t="s">
        <v>1407</v>
      </c>
      <c r="B584" s="25" t="s">
        <v>1408</v>
      </c>
      <c r="C584" s="25" t="s">
        <v>872</v>
      </c>
      <c r="D584" s="25" t="s">
        <v>169</v>
      </c>
      <c r="E584" s="25" t="s">
        <v>1409</v>
      </c>
      <c r="F584" s="63">
        <v>-6509.24</v>
      </c>
      <c r="G584" s="65">
        <f>SUM(G581:G583)</f>
        <v>6509</v>
      </c>
      <c r="H584" s="74"/>
    </row>
    <row r="585" spans="1:9">
      <c r="A585" s="25" t="s">
        <v>1410</v>
      </c>
      <c r="B585" s="25" t="s">
        <v>1411</v>
      </c>
      <c r="C585" s="25" t="s">
        <v>872</v>
      </c>
      <c r="D585" s="25" t="s">
        <v>157</v>
      </c>
      <c r="E585" s="25" t="s">
        <v>100</v>
      </c>
      <c r="F585" s="63">
        <v>0</v>
      </c>
      <c r="G585" s="65"/>
      <c r="H585" s="74"/>
    </row>
    <row r="586" spans="1:9">
      <c r="A586" s="25" t="s">
        <v>1412</v>
      </c>
      <c r="B586" s="25" t="s">
        <v>1413</v>
      </c>
      <c r="C586" s="25" t="s">
        <v>872</v>
      </c>
      <c r="D586" s="25" t="s">
        <v>162</v>
      </c>
      <c r="E586" s="25" t="s">
        <v>100</v>
      </c>
      <c r="F586" s="62">
        <v>0</v>
      </c>
      <c r="G586" s="64">
        <v>0</v>
      </c>
      <c r="H586" s="74"/>
    </row>
    <row r="587" spans="1:9">
      <c r="A587" s="25" t="s">
        <v>1414</v>
      </c>
      <c r="B587" s="25" t="s">
        <v>1415</v>
      </c>
      <c r="C587" s="25" t="s">
        <v>872</v>
      </c>
      <c r="D587" s="25" t="s">
        <v>162</v>
      </c>
      <c r="E587" s="25" t="s">
        <v>100</v>
      </c>
      <c r="F587" s="62">
        <v>0</v>
      </c>
      <c r="G587" s="64">
        <v>0</v>
      </c>
      <c r="H587" s="74"/>
    </row>
    <row r="588" spans="1:9">
      <c r="A588" s="25" t="s">
        <v>1416</v>
      </c>
      <c r="B588" s="25" t="s">
        <v>1417</v>
      </c>
      <c r="C588" s="25" t="s">
        <v>872</v>
      </c>
      <c r="D588" s="25" t="s">
        <v>162</v>
      </c>
      <c r="E588" s="25" t="s">
        <v>100</v>
      </c>
      <c r="F588" s="62">
        <v>10148.67</v>
      </c>
      <c r="G588" s="64">
        <v>-10149</v>
      </c>
      <c r="H588" s="74"/>
    </row>
    <row r="589" spans="1:9">
      <c r="A589" s="25" t="s">
        <v>1418</v>
      </c>
      <c r="B589" s="25" t="s">
        <v>515</v>
      </c>
      <c r="C589" s="25" t="s">
        <v>872</v>
      </c>
      <c r="D589" s="25" t="s">
        <v>162</v>
      </c>
      <c r="E589" s="25" t="s">
        <v>100</v>
      </c>
      <c r="F589" s="62">
        <v>-1601908.03</v>
      </c>
      <c r="G589" s="64">
        <v>1601908</v>
      </c>
      <c r="I589" s="75">
        <f>+G589+G588+G583+G503+G500+G499+G497+G492+G490+G489+G488+G487+G484+G472+G471+G469+G468+G467-G357-H484-H500</f>
        <v>3028511</v>
      </c>
    </row>
    <row r="590" spans="1:9">
      <c r="A590" s="25" t="s">
        <v>1419</v>
      </c>
      <c r="B590" s="25" t="s">
        <v>1420</v>
      </c>
      <c r="C590" s="25" t="s">
        <v>872</v>
      </c>
      <c r="D590" s="25" t="s">
        <v>169</v>
      </c>
      <c r="E590" s="25" t="s">
        <v>1421</v>
      </c>
      <c r="F590" s="63">
        <v>-1591759.36</v>
      </c>
      <c r="G590" s="65">
        <f>SUM(G586:G589)</f>
        <v>1591759</v>
      </c>
      <c r="H590" s="74"/>
    </row>
    <row r="591" spans="1:9">
      <c r="A591" s="25" t="s">
        <v>1422</v>
      </c>
      <c r="B591" s="25" t="s">
        <v>1423</v>
      </c>
      <c r="C591" s="25" t="s">
        <v>872</v>
      </c>
      <c r="D591" s="25" t="s">
        <v>157</v>
      </c>
      <c r="E591" s="25" t="s">
        <v>100</v>
      </c>
      <c r="F591" s="63">
        <v>0</v>
      </c>
      <c r="G591" s="65"/>
      <c r="H591" s="74"/>
    </row>
    <row r="592" spans="1:9">
      <c r="A592" s="25" t="s">
        <v>1424</v>
      </c>
      <c r="B592" s="25" t="s">
        <v>1425</v>
      </c>
      <c r="C592" s="25" t="s">
        <v>872</v>
      </c>
      <c r="D592" s="25" t="s">
        <v>162</v>
      </c>
      <c r="E592" s="25" t="s">
        <v>100</v>
      </c>
      <c r="F592" s="62">
        <v>0</v>
      </c>
      <c r="G592" s="60">
        <v>0</v>
      </c>
      <c r="H592" s="73"/>
    </row>
    <row r="593" spans="1:8">
      <c r="A593" s="25" t="s">
        <v>1426</v>
      </c>
      <c r="B593" s="25" t="s">
        <v>1427</v>
      </c>
      <c r="C593" s="25" t="s">
        <v>872</v>
      </c>
      <c r="D593" s="25" t="s">
        <v>162</v>
      </c>
      <c r="E593" s="25" t="s">
        <v>100</v>
      </c>
      <c r="F593" s="62">
        <v>18945.349999999999</v>
      </c>
      <c r="G593" s="60">
        <v>-18946</v>
      </c>
      <c r="H593" s="73"/>
    </row>
    <row r="594" spans="1:8">
      <c r="A594" s="25" t="s">
        <v>1428</v>
      </c>
      <c r="B594" s="25" t="s">
        <v>1429</v>
      </c>
      <c r="C594" s="25" t="s">
        <v>872</v>
      </c>
      <c r="D594" s="25" t="s">
        <v>162</v>
      </c>
      <c r="E594" s="25" t="s">
        <v>100</v>
      </c>
      <c r="F594" s="62">
        <v>-18368.02</v>
      </c>
      <c r="G594" s="60">
        <v>18368</v>
      </c>
      <c r="H594" s="73"/>
    </row>
    <row r="595" spans="1:8">
      <c r="A595" s="25" t="s">
        <v>1430</v>
      </c>
      <c r="B595" s="25" t="s">
        <v>1431</v>
      </c>
      <c r="C595" s="25" t="s">
        <v>872</v>
      </c>
      <c r="D595" s="25" t="s">
        <v>162</v>
      </c>
      <c r="E595" s="25" t="s">
        <v>100</v>
      </c>
      <c r="F595" s="62">
        <v>0</v>
      </c>
      <c r="G595" s="60">
        <v>0</v>
      </c>
      <c r="H595" s="73"/>
    </row>
    <row r="596" spans="1:8">
      <c r="A596" s="25" t="s">
        <v>1432</v>
      </c>
      <c r="B596" s="25" t="s">
        <v>1433</v>
      </c>
      <c r="C596" s="25" t="s">
        <v>156</v>
      </c>
      <c r="D596" s="25" t="s">
        <v>162</v>
      </c>
      <c r="E596" s="25" t="s">
        <v>100</v>
      </c>
      <c r="F596" s="62">
        <v>171700</v>
      </c>
      <c r="G596" s="60">
        <v>0</v>
      </c>
      <c r="H596" s="73"/>
    </row>
    <row r="597" spans="1:8">
      <c r="A597" s="25" t="s">
        <v>1434</v>
      </c>
      <c r="B597" s="25" t="s">
        <v>1435</v>
      </c>
      <c r="C597" s="25" t="s">
        <v>156</v>
      </c>
      <c r="D597" s="25" t="s">
        <v>162</v>
      </c>
      <c r="E597" s="25" t="s">
        <v>100</v>
      </c>
      <c r="F597" s="62">
        <v>-171700</v>
      </c>
      <c r="G597" s="60">
        <v>0</v>
      </c>
      <c r="H597" s="73"/>
    </row>
    <row r="598" spans="1:8">
      <c r="A598" s="25" t="s">
        <v>1436</v>
      </c>
      <c r="B598" s="25" t="s">
        <v>1437</v>
      </c>
      <c r="C598" s="25" t="s">
        <v>872</v>
      </c>
      <c r="D598" s="25" t="s">
        <v>162</v>
      </c>
      <c r="E598" s="25" t="s">
        <v>100</v>
      </c>
      <c r="F598" s="62">
        <v>0</v>
      </c>
      <c r="G598" s="60">
        <v>0</v>
      </c>
      <c r="H598" s="73"/>
    </row>
    <row r="599" spans="1:8">
      <c r="A599" s="25" t="s">
        <v>1438</v>
      </c>
      <c r="B599" s="25" t="s">
        <v>1439</v>
      </c>
      <c r="C599" s="25" t="s">
        <v>872</v>
      </c>
      <c r="D599" s="25" t="s">
        <v>169</v>
      </c>
      <c r="E599" s="25" t="s">
        <v>1440</v>
      </c>
      <c r="F599" s="63">
        <v>577.33000000000004</v>
      </c>
      <c r="G599" s="61">
        <f>SUM(G592:G598)</f>
        <v>-578</v>
      </c>
      <c r="H599" s="73"/>
    </row>
    <row r="600" spans="1:8">
      <c r="A600" s="25" t="s">
        <v>1441</v>
      </c>
      <c r="B600" s="25" t="s">
        <v>1442</v>
      </c>
      <c r="C600" s="25" t="s">
        <v>872</v>
      </c>
      <c r="D600" s="25" t="s">
        <v>169</v>
      </c>
      <c r="E600" s="25" t="s">
        <v>1443</v>
      </c>
      <c r="F600" s="63">
        <v>-2572763.7599999998</v>
      </c>
      <c r="G600" s="65">
        <f>+G599+G590+G584+G505+G495+G485+G482+G463+G429</f>
        <v>3665488</v>
      </c>
    </row>
    <row r="601" spans="1:8">
      <c r="A601" s="25" t="s">
        <v>1444</v>
      </c>
      <c r="B601" s="25" t="s">
        <v>1445</v>
      </c>
      <c r="C601" s="25" t="s">
        <v>872</v>
      </c>
      <c r="D601" s="25" t="s">
        <v>169</v>
      </c>
      <c r="E601" s="25" t="s">
        <v>1446</v>
      </c>
      <c r="F601" s="63">
        <v>-69975946.780000001</v>
      </c>
      <c r="G601" s="65"/>
      <c r="H601">
        <f>SUM(H3:H600)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601"/>
  <sheetViews>
    <sheetView topLeftCell="A372" workbookViewId="0">
      <selection activeCell="I392" sqref="I392"/>
    </sheetView>
  </sheetViews>
  <sheetFormatPr baseColWidth="10" defaultColWidth="8.5" defaultRowHeight="14"/>
  <cols>
    <col min="1" max="1" width="12" customWidth="1"/>
    <col min="2" max="2" width="32.5" bestFit="1" customWidth="1"/>
    <col min="3" max="3" width="15.5" bestFit="1" customWidth="1"/>
    <col min="4" max="4" width="8" bestFit="1" customWidth="1"/>
    <col min="5" max="5" width="14" bestFit="1" customWidth="1"/>
    <col min="6" max="6" width="13.5" bestFit="1" customWidth="1"/>
    <col min="7" max="7" width="13" style="3" bestFit="1" customWidth="1"/>
    <col min="8" max="8" width="13" style="3" customWidth="1"/>
    <col min="9" max="9" width="10.5" bestFit="1" customWidth="1"/>
    <col min="11" max="11" width="9.5" bestFit="1" customWidth="1"/>
    <col min="12" max="12" width="12" customWidth="1"/>
    <col min="13" max="13" width="31" bestFit="1" customWidth="1"/>
    <col min="14" max="16" width="12.5" bestFit="1" customWidth="1"/>
    <col min="17" max="17" width="11" bestFit="1" customWidth="1"/>
  </cols>
  <sheetData>
    <row r="1" spans="1:9" ht="16">
      <c r="A1" s="23" t="s">
        <v>146</v>
      </c>
    </row>
    <row r="2" spans="1:9" ht="24">
      <c r="A2" s="24" t="s">
        <v>147</v>
      </c>
      <c r="B2" s="24" t="s">
        <v>148</v>
      </c>
      <c r="C2" s="24" t="s">
        <v>149</v>
      </c>
      <c r="D2" s="24" t="s">
        <v>150</v>
      </c>
      <c r="E2" s="24" t="s">
        <v>151</v>
      </c>
      <c r="F2" s="24" t="s">
        <v>152</v>
      </c>
      <c r="I2" s="14"/>
    </row>
    <row r="3" spans="1:9">
      <c r="A3" s="25" t="s">
        <v>154</v>
      </c>
      <c r="B3" s="25" t="s">
        <v>155</v>
      </c>
      <c r="C3" s="25" t="s">
        <v>156</v>
      </c>
      <c r="D3" s="25" t="s">
        <v>157</v>
      </c>
      <c r="E3" s="25" t="s">
        <v>100</v>
      </c>
      <c r="F3" s="26">
        <v>0</v>
      </c>
      <c r="H3" s="50"/>
      <c r="I3" s="15">
        <f>ROUND(F3,0)</f>
        <v>0</v>
      </c>
    </row>
    <row r="4" spans="1:9">
      <c r="A4" s="25" t="s">
        <v>158</v>
      </c>
      <c r="B4" s="25" t="s">
        <v>159</v>
      </c>
      <c r="C4" s="25" t="s">
        <v>156</v>
      </c>
      <c r="D4" s="25" t="s">
        <v>157</v>
      </c>
      <c r="E4" s="25" t="s">
        <v>100</v>
      </c>
      <c r="F4" s="26">
        <v>0</v>
      </c>
      <c r="H4" s="50"/>
      <c r="I4" s="15">
        <f t="shared" ref="I4:I67" si="0">ROUND(F4,0)</f>
        <v>0</v>
      </c>
    </row>
    <row r="5" spans="1:9">
      <c r="A5" s="25" t="s">
        <v>160</v>
      </c>
      <c r="B5" s="25" t="s">
        <v>161</v>
      </c>
      <c r="C5" s="25" t="s">
        <v>156</v>
      </c>
      <c r="D5" s="25" t="s">
        <v>162</v>
      </c>
      <c r="E5" s="25" t="s">
        <v>100</v>
      </c>
      <c r="F5" s="26">
        <v>-7056110</v>
      </c>
      <c r="H5" s="50"/>
      <c r="I5" s="15">
        <f t="shared" si="0"/>
        <v>-7056110</v>
      </c>
    </row>
    <row r="6" spans="1:9">
      <c r="A6" s="25" t="s">
        <v>163</v>
      </c>
      <c r="B6" s="25" t="s">
        <v>164</v>
      </c>
      <c r="C6" s="25" t="s">
        <v>156</v>
      </c>
      <c r="D6" s="25" t="s">
        <v>162</v>
      </c>
      <c r="E6" s="25" t="s">
        <v>100</v>
      </c>
      <c r="F6" s="26">
        <v>-640282.5</v>
      </c>
      <c r="H6" s="50"/>
      <c r="I6" s="15">
        <f t="shared" si="0"/>
        <v>-640283</v>
      </c>
    </row>
    <row r="7" spans="1:9">
      <c r="A7" s="25" t="s">
        <v>165</v>
      </c>
      <c r="B7" s="25" t="s">
        <v>166</v>
      </c>
      <c r="C7" s="25" t="s">
        <v>156</v>
      </c>
      <c r="D7" s="25" t="s">
        <v>162</v>
      </c>
      <c r="E7" s="25" t="s">
        <v>100</v>
      </c>
      <c r="F7" s="26">
        <v>-44306.5</v>
      </c>
      <c r="H7" s="50"/>
      <c r="I7" s="15">
        <f t="shared" si="0"/>
        <v>-44307</v>
      </c>
    </row>
    <row r="8" spans="1:9">
      <c r="A8" s="25" t="s">
        <v>167</v>
      </c>
      <c r="B8" s="25" t="s">
        <v>168</v>
      </c>
      <c r="C8" s="25" t="s">
        <v>156</v>
      </c>
      <c r="D8" s="25" t="s">
        <v>169</v>
      </c>
      <c r="E8" s="25" t="s">
        <v>170</v>
      </c>
      <c r="F8" s="26">
        <v>-7740699</v>
      </c>
      <c r="H8" s="50"/>
      <c r="I8" s="15">
        <f t="shared" si="0"/>
        <v>-7740699</v>
      </c>
    </row>
    <row r="9" spans="1:9">
      <c r="A9" s="25" t="s">
        <v>171</v>
      </c>
      <c r="B9" s="25" t="s">
        <v>172</v>
      </c>
      <c r="C9" s="25" t="s">
        <v>156</v>
      </c>
      <c r="D9" s="25" t="s">
        <v>157</v>
      </c>
      <c r="E9" s="25" t="s">
        <v>100</v>
      </c>
      <c r="F9" s="26">
        <v>0</v>
      </c>
      <c r="H9" s="50"/>
      <c r="I9" s="15">
        <f t="shared" si="0"/>
        <v>0</v>
      </c>
    </row>
    <row r="10" spans="1:9">
      <c r="A10" s="25" t="s">
        <v>173</v>
      </c>
      <c r="B10" s="25" t="s">
        <v>174</v>
      </c>
      <c r="C10" s="25" t="s">
        <v>156</v>
      </c>
      <c r="D10" s="25" t="s">
        <v>162</v>
      </c>
      <c r="E10" s="25" t="s">
        <v>100</v>
      </c>
      <c r="F10" s="26">
        <v>-6610000</v>
      </c>
      <c r="H10" s="50"/>
      <c r="I10" s="15">
        <f t="shared" si="0"/>
        <v>-6610000</v>
      </c>
    </row>
    <row r="11" spans="1:9">
      <c r="A11" s="25" t="s">
        <v>175</v>
      </c>
      <c r="B11" s="25" t="s">
        <v>176</v>
      </c>
      <c r="C11" s="25" t="s">
        <v>156</v>
      </c>
      <c r="D11" s="25" t="s">
        <v>162</v>
      </c>
      <c r="E11" s="25" t="s">
        <v>100</v>
      </c>
      <c r="F11" s="26">
        <v>-268602</v>
      </c>
      <c r="H11" s="50"/>
      <c r="I11" s="15">
        <f t="shared" si="0"/>
        <v>-268602</v>
      </c>
    </row>
    <row r="12" spans="1:9">
      <c r="A12" s="25" t="s">
        <v>177</v>
      </c>
      <c r="B12" s="25" t="s">
        <v>178</v>
      </c>
      <c r="C12" s="25" t="s">
        <v>156</v>
      </c>
      <c r="D12" s="25" t="s">
        <v>162</v>
      </c>
      <c r="E12" s="25" t="s">
        <v>100</v>
      </c>
      <c r="F12" s="26">
        <v>-555008.51</v>
      </c>
      <c r="G12" s="3">
        <v>-242287</v>
      </c>
      <c r="H12" s="50"/>
      <c r="I12" s="15">
        <f>ROUND(F12,0)+G12</f>
        <v>-797296</v>
      </c>
    </row>
    <row r="13" spans="1:9">
      <c r="A13" s="25" t="s">
        <v>179</v>
      </c>
      <c r="B13" s="25" t="s">
        <v>180</v>
      </c>
      <c r="C13" s="25" t="s">
        <v>156</v>
      </c>
      <c r="D13" s="25" t="s">
        <v>162</v>
      </c>
      <c r="E13" s="25" t="s">
        <v>100</v>
      </c>
      <c r="F13" s="26">
        <v>463484.79</v>
      </c>
      <c r="H13" s="50"/>
      <c r="I13" s="15">
        <f t="shared" si="0"/>
        <v>463485</v>
      </c>
    </row>
    <row r="14" spans="1:9">
      <c r="A14" s="25" t="s">
        <v>183</v>
      </c>
      <c r="B14" s="25" t="s">
        <v>184</v>
      </c>
      <c r="C14" s="25" t="s">
        <v>156</v>
      </c>
      <c r="D14" s="25" t="s">
        <v>162</v>
      </c>
      <c r="E14" s="25" t="s">
        <v>100</v>
      </c>
      <c r="F14" s="26">
        <v>-491057</v>
      </c>
      <c r="H14" s="50"/>
      <c r="I14" s="15">
        <f t="shared" si="0"/>
        <v>-491057</v>
      </c>
    </row>
    <row r="15" spans="1:9">
      <c r="A15" s="25" t="s">
        <v>185</v>
      </c>
      <c r="B15" s="25" t="s">
        <v>186</v>
      </c>
      <c r="C15" s="25" t="s">
        <v>156</v>
      </c>
      <c r="D15" s="25" t="s">
        <v>169</v>
      </c>
      <c r="E15" s="25" t="s">
        <v>187</v>
      </c>
      <c r="F15" s="26">
        <v>-7461182.7199999997</v>
      </c>
      <c r="H15" s="50"/>
      <c r="I15" s="15">
        <f t="shared" si="0"/>
        <v>-7461183</v>
      </c>
    </row>
    <row r="16" spans="1:9">
      <c r="A16" s="25" t="s">
        <v>188</v>
      </c>
      <c r="B16" s="25" t="s">
        <v>189</v>
      </c>
      <c r="C16" s="25" t="s">
        <v>156</v>
      </c>
      <c r="D16" s="25" t="s">
        <v>157</v>
      </c>
      <c r="E16" s="25" t="s">
        <v>100</v>
      </c>
      <c r="F16" s="26">
        <v>0</v>
      </c>
      <c r="H16" s="50"/>
      <c r="I16" s="15">
        <f t="shared" si="0"/>
        <v>0</v>
      </c>
    </row>
    <row r="17" spans="1:9">
      <c r="A17" s="25" t="s">
        <v>190</v>
      </c>
      <c r="B17" s="25" t="s">
        <v>191</v>
      </c>
      <c r="C17" s="25" t="s">
        <v>156</v>
      </c>
      <c r="D17" s="25" t="s">
        <v>157</v>
      </c>
      <c r="E17" s="25" t="s">
        <v>100</v>
      </c>
      <c r="F17" s="26">
        <v>0</v>
      </c>
      <c r="H17" s="50">
        <v>-59338</v>
      </c>
      <c r="I17" s="15">
        <f>+F17+G17+H17</f>
        <v>-59338</v>
      </c>
    </row>
    <row r="18" spans="1:9">
      <c r="A18" s="25" t="s">
        <v>192</v>
      </c>
      <c r="B18" s="25" t="s">
        <v>193</v>
      </c>
      <c r="C18" s="25" t="s">
        <v>156</v>
      </c>
      <c r="D18" s="25" t="s">
        <v>162</v>
      </c>
      <c r="E18" s="25" t="s">
        <v>100</v>
      </c>
      <c r="F18" s="26">
        <v>0</v>
      </c>
      <c r="H18" s="50"/>
      <c r="I18" s="15">
        <f t="shared" si="0"/>
        <v>0</v>
      </c>
    </row>
    <row r="19" spans="1:9">
      <c r="A19" s="25" t="s">
        <v>194</v>
      </c>
      <c r="B19" s="25" t="s">
        <v>195</v>
      </c>
      <c r="C19" s="25" t="s">
        <v>156</v>
      </c>
      <c r="D19" s="25" t="s">
        <v>169</v>
      </c>
      <c r="E19" s="25" t="s">
        <v>196</v>
      </c>
      <c r="F19" s="26">
        <v>0</v>
      </c>
      <c r="H19" s="50"/>
      <c r="I19" s="15">
        <f t="shared" si="0"/>
        <v>0</v>
      </c>
    </row>
    <row r="20" spans="1:9">
      <c r="A20" s="25" t="s">
        <v>197</v>
      </c>
      <c r="B20" s="25" t="s">
        <v>198</v>
      </c>
      <c r="C20" s="25" t="s">
        <v>156</v>
      </c>
      <c r="D20" s="25" t="s">
        <v>157</v>
      </c>
      <c r="E20" s="25" t="s">
        <v>100</v>
      </c>
      <c r="F20" s="26">
        <v>0</v>
      </c>
      <c r="H20" s="50"/>
      <c r="I20" s="15">
        <f t="shared" si="0"/>
        <v>0</v>
      </c>
    </row>
    <row r="21" spans="1:9">
      <c r="A21" s="25" t="s">
        <v>199</v>
      </c>
      <c r="B21" s="25" t="s">
        <v>200</v>
      </c>
      <c r="C21" s="25" t="s">
        <v>156</v>
      </c>
      <c r="D21" s="25" t="s">
        <v>162</v>
      </c>
      <c r="E21" s="25" t="s">
        <v>100</v>
      </c>
      <c r="F21" s="26">
        <v>-519836.25</v>
      </c>
      <c r="H21" s="50"/>
      <c r="I21" s="15">
        <f t="shared" si="0"/>
        <v>-519836</v>
      </c>
    </row>
    <row r="22" spans="1:9">
      <c r="A22" s="25" t="s">
        <v>201</v>
      </c>
      <c r="B22" s="25" t="s">
        <v>202</v>
      </c>
      <c r="C22" s="25" t="s">
        <v>156</v>
      </c>
      <c r="D22" s="25" t="s">
        <v>162</v>
      </c>
      <c r="E22" s="25" t="s">
        <v>100</v>
      </c>
      <c r="F22" s="26">
        <v>-5651</v>
      </c>
      <c r="H22" s="50"/>
      <c r="I22" s="15">
        <f t="shared" si="0"/>
        <v>-5651</v>
      </c>
    </row>
    <row r="23" spans="1:9">
      <c r="A23" s="25" t="s">
        <v>203</v>
      </c>
      <c r="B23" s="25" t="s">
        <v>2149</v>
      </c>
      <c r="C23" s="25" t="s">
        <v>872</v>
      </c>
      <c r="D23" s="25" t="s">
        <v>162</v>
      </c>
      <c r="E23" s="25" t="s">
        <v>100</v>
      </c>
      <c r="F23" s="26">
        <v>111352.22</v>
      </c>
      <c r="H23" s="50"/>
      <c r="I23" s="15">
        <f t="shared" si="0"/>
        <v>111352</v>
      </c>
    </row>
    <row r="24" spans="1:9">
      <c r="A24" s="25" t="s">
        <v>207</v>
      </c>
      <c r="B24" s="25" t="s">
        <v>208</v>
      </c>
      <c r="C24" s="25" t="s">
        <v>872</v>
      </c>
      <c r="D24" s="25" t="s">
        <v>162</v>
      </c>
      <c r="E24" s="25" t="s">
        <v>100</v>
      </c>
      <c r="F24" s="26">
        <v>189646.12</v>
      </c>
      <c r="H24" s="50"/>
      <c r="I24" s="15">
        <f t="shared" si="0"/>
        <v>189646</v>
      </c>
    </row>
    <row r="25" spans="1:9">
      <c r="A25" s="25" t="s">
        <v>209</v>
      </c>
      <c r="B25" s="25" t="s">
        <v>210</v>
      </c>
      <c r="C25" s="25" t="s">
        <v>156</v>
      </c>
      <c r="D25" s="25" t="s">
        <v>162</v>
      </c>
      <c r="E25" s="25" t="s">
        <v>100</v>
      </c>
      <c r="F25" s="26">
        <v>189908.77</v>
      </c>
      <c r="H25" s="50"/>
      <c r="I25" s="15">
        <f t="shared" si="0"/>
        <v>189909</v>
      </c>
    </row>
    <row r="26" spans="1:9">
      <c r="A26" s="25" t="s">
        <v>211</v>
      </c>
      <c r="B26" s="25" t="s">
        <v>212</v>
      </c>
      <c r="C26" s="25" t="s">
        <v>156</v>
      </c>
      <c r="D26" s="25" t="s">
        <v>162</v>
      </c>
      <c r="E26" s="25" t="s">
        <v>100</v>
      </c>
      <c r="F26" s="26">
        <v>2943.68</v>
      </c>
      <c r="H26" s="50"/>
      <c r="I26" s="15">
        <f t="shared" si="0"/>
        <v>2944</v>
      </c>
    </row>
    <row r="27" spans="1:9">
      <c r="A27" s="25" t="s">
        <v>213</v>
      </c>
      <c r="B27" s="25" t="s">
        <v>214</v>
      </c>
      <c r="C27" s="25" t="s">
        <v>872</v>
      </c>
      <c r="D27" s="25" t="s">
        <v>162</v>
      </c>
      <c r="E27" s="25" t="s">
        <v>100</v>
      </c>
      <c r="F27" s="26">
        <v>4458.55</v>
      </c>
      <c r="H27" s="50"/>
      <c r="I27" s="15">
        <f t="shared" si="0"/>
        <v>4459</v>
      </c>
    </row>
    <row r="28" spans="1:9">
      <c r="A28" s="25" t="s">
        <v>215</v>
      </c>
      <c r="B28" s="25" t="s">
        <v>216</v>
      </c>
      <c r="C28" s="25" t="s">
        <v>872</v>
      </c>
      <c r="D28" s="25" t="s">
        <v>162</v>
      </c>
      <c r="E28" s="25" t="s">
        <v>100</v>
      </c>
      <c r="F28" s="26">
        <v>25154</v>
      </c>
      <c r="H28" s="50">
        <v>-23154</v>
      </c>
      <c r="I28" s="15">
        <f>ROUND(F28,0)+G28+H28</f>
        <v>2000</v>
      </c>
    </row>
    <row r="29" spans="1:9">
      <c r="A29" s="25" t="s">
        <v>217</v>
      </c>
      <c r="B29" s="25" t="s">
        <v>218</v>
      </c>
      <c r="C29" s="25" t="s">
        <v>156</v>
      </c>
      <c r="D29" s="25" t="s">
        <v>162</v>
      </c>
      <c r="E29" s="25" t="s">
        <v>100</v>
      </c>
      <c r="F29" s="26">
        <v>22143.17</v>
      </c>
      <c r="H29" s="50"/>
      <c r="I29" s="15">
        <f t="shared" si="0"/>
        <v>22143</v>
      </c>
    </row>
    <row r="30" spans="1:9">
      <c r="A30" s="25" t="s">
        <v>219</v>
      </c>
      <c r="B30" s="25" t="s">
        <v>220</v>
      </c>
      <c r="C30" s="25" t="s">
        <v>872</v>
      </c>
      <c r="D30" s="25" t="s">
        <v>162</v>
      </c>
      <c r="E30" s="25" t="s">
        <v>100</v>
      </c>
      <c r="F30" s="26">
        <v>6282.64</v>
      </c>
      <c r="H30" s="50"/>
      <c r="I30" s="15">
        <f t="shared" si="0"/>
        <v>6283</v>
      </c>
    </row>
    <row r="31" spans="1:9">
      <c r="A31" s="25" t="s">
        <v>221</v>
      </c>
      <c r="B31" s="25" t="s">
        <v>222</v>
      </c>
      <c r="C31" s="25" t="s">
        <v>156</v>
      </c>
      <c r="D31" s="25" t="s">
        <v>169</v>
      </c>
      <c r="E31" s="25" t="s">
        <v>223</v>
      </c>
      <c r="F31" s="26">
        <v>26401.9</v>
      </c>
      <c r="H31" s="50"/>
      <c r="I31" s="15">
        <f>ROUND(F31,0)+H28</f>
        <v>3248</v>
      </c>
    </row>
    <row r="32" spans="1:9">
      <c r="A32" s="25" t="s">
        <v>224</v>
      </c>
      <c r="B32" s="25" t="s">
        <v>225</v>
      </c>
      <c r="C32" s="25" t="s">
        <v>156</v>
      </c>
      <c r="D32" s="25" t="s">
        <v>157</v>
      </c>
      <c r="E32" s="25" t="s">
        <v>100</v>
      </c>
      <c r="F32" s="26">
        <v>0</v>
      </c>
      <c r="H32" s="50"/>
      <c r="I32" s="15">
        <f t="shared" si="0"/>
        <v>0</v>
      </c>
    </row>
    <row r="33" spans="1:9">
      <c r="A33" s="25" t="s">
        <v>226</v>
      </c>
      <c r="B33" s="25" t="s">
        <v>227</v>
      </c>
      <c r="C33" s="25" t="s">
        <v>156</v>
      </c>
      <c r="D33" s="25" t="s">
        <v>162</v>
      </c>
      <c r="E33" s="25" t="s">
        <v>100</v>
      </c>
      <c r="F33" s="26">
        <v>-2419680</v>
      </c>
      <c r="H33" s="50"/>
      <c r="I33" s="15">
        <f t="shared" si="0"/>
        <v>-2419680</v>
      </c>
    </row>
    <row r="34" spans="1:9">
      <c r="A34" s="25" t="s">
        <v>228</v>
      </c>
      <c r="B34" s="25" t="s">
        <v>229</v>
      </c>
      <c r="C34" s="25" t="s">
        <v>156</v>
      </c>
      <c r="D34" s="25" t="s">
        <v>162</v>
      </c>
      <c r="E34" s="25" t="s">
        <v>100</v>
      </c>
      <c r="F34" s="26">
        <v>147110.29999999999</v>
      </c>
      <c r="H34" s="50"/>
      <c r="I34" s="15">
        <f t="shared" si="0"/>
        <v>147110</v>
      </c>
    </row>
    <row r="35" spans="1:9">
      <c r="A35" s="25" t="s">
        <v>230</v>
      </c>
      <c r="B35" s="25" t="s">
        <v>231</v>
      </c>
      <c r="C35" s="25" t="s">
        <v>156</v>
      </c>
      <c r="D35" s="25" t="s">
        <v>162</v>
      </c>
      <c r="E35" s="25" t="s">
        <v>100</v>
      </c>
      <c r="F35" s="26">
        <v>22905.48</v>
      </c>
      <c r="H35" s="50"/>
      <c r="I35" s="15">
        <f t="shared" si="0"/>
        <v>22905</v>
      </c>
    </row>
    <row r="36" spans="1:9">
      <c r="A36" s="25" t="s">
        <v>232</v>
      </c>
      <c r="B36" s="25" t="s">
        <v>233</v>
      </c>
      <c r="C36" s="25" t="s">
        <v>156</v>
      </c>
      <c r="D36" s="25" t="s">
        <v>162</v>
      </c>
      <c r="E36" s="25" t="s">
        <v>100</v>
      </c>
      <c r="F36" s="26">
        <v>271207.59999999998</v>
      </c>
      <c r="H36" s="50"/>
      <c r="I36" s="15">
        <f t="shared" si="0"/>
        <v>271208</v>
      </c>
    </row>
    <row r="37" spans="1:9">
      <c r="A37" s="25" t="s">
        <v>234</v>
      </c>
      <c r="B37" s="25" t="s">
        <v>235</v>
      </c>
      <c r="C37" s="25" t="s">
        <v>156</v>
      </c>
      <c r="D37" s="25" t="s">
        <v>162</v>
      </c>
      <c r="E37" s="25" t="s">
        <v>100</v>
      </c>
      <c r="F37" s="26">
        <v>-28530.2</v>
      </c>
      <c r="H37" s="50"/>
      <c r="I37" s="15">
        <f t="shared" si="0"/>
        <v>-28530</v>
      </c>
    </row>
    <row r="38" spans="1:9">
      <c r="A38" s="25" t="s">
        <v>236</v>
      </c>
      <c r="B38" s="25" t="s">
        <v>237</v>
      </c>
      <c r="C38" s="25" t="s">
        <v>156</v>
      </c>
      <c r="D38" s="25" t="s">
        <v>162</v>
      </c>
      <c r="E38" s="25" t="s">
        <v>100</v>
      </c>
      <c r="F38" s="26">
        <v>60317</v>
      </c>
      <c r="H38" s="50"/>
      <c r="I38" s="15">
        <f t="shared" si="0"/>
        <v>60317</v>
      </c>
    </row>
    <row r="39" spans="1:9">
      <c r="A39" s="25" t="s">
        <v>238</v>
      </c>
      <c r="B39" s="25" t="s">
        <v>239</v>
      </c>
      <c r="C39" s="25" t="s">
        <v>156</v>
      </c>
      <c r="D39" s="25" t="s">
        <v>162</v>
      </c>
      <c r="E39" s="25" t="s">
        <v>100</v>
      </c>
      <c r="F39" s="26">
        <v>1846215.84</v>
      </c>
      <c r="H39" s="50"/>
      <c r="I39" s="15">
        <f t="shared" si="0"/>
        <v>1846216</v>
      </c>
    </row>
    <row r="40" spans="1:9">
      <c r="A40" s="25" t="s">
        <v>240</v>
      </c>
      <c r="B40" s="25" t="s">
        <v>241</v>
      </c>
      <c r="C40" s="25" t="s">
        <v>156</v>
      </c>
      <c r="D40" s="25" t="s">
        <v>169</v>
      </c>
      <c r="E40" s="25" t="s">
        <v>242</v>
      </c>
      <c r="F40" s="26">
        <v>-100453.98</v>
      </c>
      <c r="H40" s="50"/>
      <c r="I40" s="15">
        <f t="shared" si="0"/>
        <v>-100454</v>
      </c>
    </row>
    <row r="41" spans="1:9">
      <c r="A41" s="25" t="s">
        <v>243</v>
      </c>
      <c r="B41" s="25" t="s">
        <v>244</v>
      </c>
      <c r="C41" s="25" t="s">
        <v>156</v>
      </c>
      <c r="D41" s="25" t="s">
        <v>157</v>
      </c>
      <c r="E41" s="25" t="s">
        <v>100</v>
      </c>
      <c r="F41" s="26">
        <v>0</v>
      </c>
      <c r="H41" s="50"/>
      <c r="I41" s="15">
        <f t="shared" si="0"/>
        <v>0</v>
      </c>
    </row>
    <row r="42" spans="1:9">
      <c r="A42" s="25" t="s">
        <v>245</v>
      </c>
      <c r="B42" s="25" t="s">
        <v>246</v>
      </c>
      <c r="C42" s="25" t="s">
        <v>156</v>
      </c>
      <c r="D42" s="25" t="s">
        <v>162</v>
      </c>
      <c r="E42" s="25" t="s">
        <v>100</v>
      </c>
      <c r="F42" s="26">
        <v>-450448.6</v>
      </c>
      <c r="G42" s="3">
        <v>242287</v>
      </c>
      <c r="H42" s="50"/>
      <c r="I42" s="15">
        <f>ROUND(F42,0)+G42</f>
        <v>-208162</v>
      </c>
    </row>
    <row r="43" spans="1:9">
      <c r="A43" s="25" t="s">
        <v>247</v>
      </c>
      <c r="B43" s="25" t="s">
        <v>248</v>
      </c>
      <c r="C43" s="25" t="s">
        <v>156</v>
      </c>
      <c r="D43" s="25" t="s">
        <v>169</v>
      </c>
      <c r="E43" s="25" t="s">
        <v>249</v>
      </c>
      <c r="F43" s="26">
        <v>-450448.6</v>
      </c>
      <c r="H43" s="50"/>
      <c r="I43" s="15">
        <f>ROUND(F43,0)+G42</f>
        <v>-208162</v>
      </c>
    </row>
    <row r="44" spans="1:9">
      <c r="A44" s="25" t="s">
        <v>250</v>
      </c>
      <c r="B44" s="25" t="s">
        <v>251</v>
      </c>
      <c r="C44" s="25" t="s">
        <v>156</v>
      </c>
      <c r="D44" s="25" t="s">
        <v>169</v>
      </c>
      <c r="E44" s="25" t="s">
        <v>252</v>
      </c>
      <c r="F44" s="26">
        <v>-524500.68000000005</v>
      </c>
      <c r="H44" s="50"/>
      <c r="I44" s="15">
        <f t="shared" si="0"/>
        <v>-524501</v>
      </c>
    </row>
    <row r="45" spans="1:9">
      <c r="A45" s="25" t="s">
        <v>253</v>
      </c>
      <c r="B45" s="25" t="s">
        <v>254</v>
      </c>
      <c r="C45" s="25" t="s">
        <v>156</v>
      </c>
      <c r="D45" s="25" t="s">
        <v>157</v>
      </c>
      <c r="E45" s="25" t="s">
        <v>100</v>
      </c>
      <c r="F45" s="26">
        <v>0</v>
      </c>
      <c r="H45" s="50"/>
      <c r="I45" s="15">
        <f t="shared" si="0"/>
        <v>0</v>
      </c>
    </row>
    <row r="46" spans="1:9">
      <c r="A46" s="25" t="s">
        <v>255</v>
      </c>
      <c r="B46" s="25" t="s">
        <v>256</v>
      </c>
      <c r="C46" s="25" t="s">
        <v>156</v>
      </c>
      <c r="D46" s="25" t="s">
        <v>162</v>
      </c>
      <c r="E46" s="25" t="s">
        <v>100</v>
      </c>
      <c r="F46" s="26">
        <v>0</v>
      </c>
      <c r="H46" s="50"/>
      <c r="I46" s="15">
        <f t="shared" si="0"/>
        <v>0</v>
      </c>
    </row>
    <row r="47" spans="1:9">
      <c r="A47" s="25" t="s">
        <v>257</v>
      </c>
      <c r="B47" s="25" t="s">
        <v>258</v>
      </c>
      <c r="C47" s="25" t="s">
        <v>156</v>
      </c>
      <c r="D47" s="25" t="s">
        <v>162</v>
      </c>
      <c r="E47" s="25" t="s">
        <v>100</v>
      </c>
      <c r="F47" s="26">
        <v>0</v>
      </c>
      <c r="H47" s="50"/>
      <c r="I47" s="15">
        <f t="shared" si="0"/>
        <v>0</v>
      </c>
    </row>
    <row r="48" spans="1:9">
      <c r="A48" s="25" t="s">
        <v>259</v>
      </c>
      <c r="B48" s="25" t="s">
        <v>260</v>
      </c>
      <c r="C48" s="25" t="s">
        <v>156</v>
      </c>
      <c r="D48" s="25" t="s">
        <v>162</v>
      </c>
      <c r="E48" s="25" t="s">
        <v>100</v>
      </c>
      <c r="F48" s="26">
        <v>0</v>
      </c>
      <c r="H48" s="50"/>
      <c r="I48" s="15">
        <f t="shared" si="0"/>
        <v>0</v>
      </c>
    </row>
    <row r="49" spans="1:9">
      <c r="A49" s="25" t="s">
        <v>261</v>
      </c>
      <c r="B49" s="25" t="s">
        <v>262</v>
      </c>
      <c r="C49" s="25" t="s">
        <v>156</v>
      </c>
      <c r="D49" s="25" t="s">
        <v>162</v>
      </c>
      <c r="E49" s="25" t="s">
        <v>100</v>
      </c>
      <c r="F49" s="26">
        <v>0</v>
      </c>
      <c r="H49" s="50"/>
      <c r="I49" s="15">
        <f t="shared" si="0"/>
        <v>0</v>
      </c>
    </row>
    <row r="50" spans="1:9">
      <c r="A50" s="25" t="s">
        <v>263</v>
      </c>
      <c r="B50" s="25" t="s">
        <v>264</v>
      </c>
      <c r="C50" s="25" t="s">
        <v>156</v>
      </c>
      <c r="D50" s="25" t="s">
        <v>162</v>
      </c>
      <c r="E50" s="25" t="s">
        <v>100</v>
      </c>
      <c r="F50" s="26">
        <v>-17402.79</v>
      </c>
      <c r="H50" s="50"/>
      <c r="I50" s="15">
        <f t="shared" si="0"/>
        <v>-17403</v>
      </c>
    </row>
    <row r="51" spans="1:9">
      <c r="A51" s="25" t="s">
        <v>265</v>
      </c>
      <c r="B51" s="25" t="s">
        <v>266</v>
      </c>
      <c r="C51" s="25" t="s">
        <v>156</v>
      </c>
      <c r="D51" s="25" t="s">
        <v>162</v>
      </c>
      <c r="E51" s="25" t="s">
        <v>100</v>
      </c>
      <c r="F51" s="26">
        <v>-49.62</v>
      </c>
      <c r="H51" s="50"/>
      <c r="I51" s="15">
        <f t="shared" si="0"/>
        <v>-50</v>
      </c>
    </row>
    <row r="52" spans="1:9">
      <c r="A52" s="25" t="s">
        <v>267</v>
      </c>
      <c r="B52" s="25" t="s">
        <v>268</v>
      </c>
      <c r="C52" s="25" t="s">
        <v>156</v>
      </c>
      <c r="D52" s="25" t="s">
        <v>162</v>
      </c>
      <c r="E52" s="25" t="s">
        <v>100</v>
      </c>
      <c r="F52" s="26">
        <v>0</v>
      </c>
      <c r="H52" s="50"/>
      <c r="I52" s="15">
        <f t="shared" si="0"/>
        <v>0</v>
      </c>
    </row>
    <row r="53" spans="1:9">
      <c r="A53" s="25" t="s">
        <v>269</v>
      </c>
      <c r="B53" s="25" t="s">
        <v>270</v>
      </c>
      <c r="C53" s="25" t="s">
        <v>156</v>
      </c>
      <c r="D53" s="25" t="s">
        <v>162</v>
      </c>
      <c r="E53" s="25" t="s">
        <v>100</v>
      </c>
      <c r="F53" s="26">
        <v>-84160</v>
      </c>
      <c r="H53" s="50"/>
      <c r="I53" s="15">
        <f t="shared" si="0"/>
        <v>-84160</v>
      </c>
    </row>
    <row r="54" spans="1:9">
      <c r="A54" s="25" t="s">
        <v>2224</v>
      </c>
      <c r="B54" s="25" t="s">
        <v>835</v>
      </c>
      <c r="C54" s="25" t="s">
        <v>156</v>
      </c>
      <c r="D54" s="25" t="s">
        <v>162</v>
      </c>
      <c r="E54" s="25" t="s">
        <v>100</v>
      </c>
      <c r="F54" s="26">
        <v>1389.11</v>
      </c>
      <c r="H54" s="50"/>
      <c r="I54" s="15">
        <f t="shared" si="0"/>
        <v>1389</v>
      </c>
    </row>
    <row r="55" spans="1:9">
      <c r="A55" s="25" t="s">
        <v>271</v>
      </c>
      <c r="B55" s="25" t="s">
        <v>272</v>
      </c>
      <c r="C55" s="25" t="s">
        <v>156</v>
      </c>
      <c r="D55" s="25" t="s">
        <v>162</v>
      </c>
      <c r="E55" s="25" t="s">
        <v>100</v>
      </c>
      <c r="F55" s="26">
        <v>68764.09</v>
      </c>
      <c r="H55" s="50"/>
      <c r="I55" s="15">
        <f t="shared" si="0"/>
        <v>68764</v>
      </c>
    </row>
    <row r="56" spans="1:9">
      <c r="A56" s="25" t="s">
        <v>273</v>
      </c>
      <c r="B56" s="25" t="s">
        <v>274</v>
      </c>
      <c r="C56" s="25" t="s">
        <v>156</v>
      </c>
      <c r="D56" s="25" t="s">
        <v>162</v>
      </c>
      <c r="E56" s="25" t="s">
        <v>100</v>
      </c>
      <c r="F56" s="26">
        <v>46555.69</v>
      </c>
      <c r="G56" s="3">
        <v>-16000</v>
      </c>
      <c r="H56" s="50"/>
      <c r="I56" s="15">
        <f>ROUND(F56,0)+G56</f>
        <v>30556</v>
      </c>
    </row>
    <row r="57" spans="1:9">
      <c r="A57" s="25" t="s">
        <v>2225</v>
      </c>
      <c r="B57" s="25" t="s">
        <v>837</v>
      </c>
      <c r="C57" s="25" t="s">
        <v>156</v>
      </c>
      <c r="D57" s="25" t="s">
        <v>162</v>
      </c>
      <c r="E57" s="25" t="s">
        <v>100</v>
      </c>
      <c r="F57" s="26">
        <v>18809.05</v>
      </c>
      <c r="H57" s="50"/>
      <c r="I57" s="15">
        <f t="shared" si="0"/>
        <v>18809</v>
      </c>
    </row>
    <row r="58" spans="1:9">
      <c r="A58" s="25" t="s">
        <v>275</v>
      </c>
      <c r="B58" s="25" t="s">
        <v>254</v>
      </c>
      <c r="C58" s="25" t="s">
        <v>156</v>
      </c>
      <c r="D58" s="25" t="s">
        <v>169</v>
      </c>
      <c r="E58" s="25" t="s">
        <v>276</v>
      </c>
      <c r="F58" s="26">
        <v>33905.53</v>
      </c>
      <c r="H58" s="50"/>
      <c r="I58" s="15">
        <f t="shared" si="0"/>
        <v>33906</v>
      </c>
    </row>
    <row r="59" spans="1:9">
      <c r="A59" s="25" t="s">
        <v>277</v>
      </c>
      <c r="B59" s="25" t="s">
        <v>278</v>
      </c>
      <c r="C59" s="25" t="s">
        <v>156</v>
      </c>
      <c r="D59" s="25" t="s">
        <v>169</v>
      </c>
      <c r="E59" s="25" t="s">
        <v>279</v>
      </c>
      <c r="F59" s="26">
        <v>-15692476.869999999</v>
      </c>
      <c r="H59" s="50"/>
      <c r="I59" s="15">
        <f t="shared" si="0"/>
        <v>-15692477</v>
      </c>
    </row>
    <row r="60" spans="1:9">
      <c r="A60" s="25" t="s">
        <v>280</v>
      </c>
      <c r="B60" s="25" t="s">
        <v>281</v>
      </c>
      <c r="C60" s="25" t="s">
        <v>156</v>
      </c>
      <c r="D60" s="25" t="s">
        <v>157</v>
      </c>
      <c r="E60" s="25" t="s">
        <v>100</v>
      </c>
      <c r="F60" s="26">
        <v>0</v>
      </c>
      <c r="H60" s="50"/>
      <c r="I60" s="15">
        <f t="shared" si="0"/>
        <v>0</v>
      </c>
    </row>
    <row r="61" spans="1:9">
      <c r="A61" s="25" t="s">
        <v>282</v>
      </c>
      <c r="B61" s="25" t="s">
        <v>281</v>
      </c>
      <c r="C61" s="25" t="s">
        <v>156</v>
      </c>
      <c r="D61" s="25" t="s">
        <v>157</v>
      </c>
      <c r="E61" s="25" t="s">
        <v>100</v>
      </c>
      <c r="F61" s="26">
        <v>0</v>
      </c>
      <c r="H61" s="50"/>
      <c r="I61" s="15">
        <f t="shared" si="0"/>
        <v>0</v>
      </c>
    </row>
    <row r="62" spans="1:9">
      <c r="A62" s="25" t="s">
        <v>283</v>
      </c>
      <c r="B62" s="25" t="s">
        <v>284</v>
      </c>
      <c r="C62" s="25" t="s">
        <v>156</v>
      </c>
      <c r="D62" s="25" t="s">
        <v>157</v>
      </c>
      <c r="E62" s="25" t="s">
        <v>100</v>
      </c>
      <c r="F62" s="26">
        <v>0</v>
      </c>
      <c r="H62" s="50"/>
      <c r="I62" s="15">
        <f t="shared" si="0"/>
        <v>0</v>
      </c>
    </row>
    <row r="63" spans="1:9">
      <c r="A63" s="25" t="s">
        <v>285</v>
      </c>
      <c r="B63" s="25" t="s">
        <v>286</v>
      </c>
      <c r="C63" s="25" t="s">
        <v>156</v>
      </c>
      <c r="D63" s="25" t="s">
        <v>157</v>
      </c>
      <c r="E63" s="25" t="s">
        <v>100</v>
      </c>
      <c r="F63" s="26">
        <v>0</v>
      </c>
      <c r="H63" s="50"/>
      <c r="I63" s="15">
        <f t="shared" si="0"/>
        <v>0</v>
      </c>
    </row>
    <row r="64" spans="1:9">
      <c r="A64" s="25" t="s">
        <v>287</v>
      </c>
      <c r="B64" s="25" t="s">
        <v>288</v>
      </c>
      <c r="C64" s="25" t="s">
        <v>156</v>
      </c>
      <c r="D64" s="25" t="s">
        <v>162</v>
      </c>
      <c r="E64" s="25" t="s">
        <v>100</v>
      </c>
      <c r="F64" s="26">
        <v>7164974.4000000004</v>
      </c>
      <c r="H64" s="50"/>
      <c r="I64" s="15">
        <f t="shared" si="0"/>
        <v>7164974</v>
      </c>
    </row>
    <row r="65" spans="1:9">
      <c r="A65" s="25" t="s">
        <v>289</v>
      </c>
      <c r="B65" s="25" t="s">
        <v>290</v>
      </c>
      <c r="C65" s="25" t="s">
        <v>156</v>
      </c>
      <c r="D65" s="25" t="s">
        <v>162</v>
      </c>
      <c r="E65" s="25" t="s">
        <v>100</v>
      </c>
      <c r="F65" s="26">
        <v>4264.53</v>
      </c>
      <c r="H65" s="50"/>
      <c r="I65" s="15">
        <f t="shared" si="0"/>
        <v>4265</v>
      </c>
    </row>
    <row r="66" spans="1:9">
      <c r="A66" s="25" t="s">
        <v>291</v>
      </c>
      <c r="B66" s="25" t="s">
        <v>292</v>
      </c>
      <c r="C66" s="25" t="s">
        <v>156</v>
      </c>
      <c r="D66" s="25" t="s">
        <v>162</v>
      </c>
      <c r="E66" s="25" t="s">
        <v>100</v>
      </c>
      <c r="F66" s="26">
        <v>23000</v>
      </c>
      <c r="H66" s="50"/>
      <c r="I66" s="15">
        <f t="shared" si="0"/>
        <v>23000</v>
      </c>
    </row>
    <row r="67" spans="1:9">
      <c r="A67" s="25" t="s">
        <v>293</v>
      </c>
      <c r="B67" s="25" t="s">
        <v>294</v>
      </c>
      <c r="C67" s="25" t="s">
        <v>156</v>
      </c>
      <c r="D67" s="25" t="s">
        <v>162</v>
      </c>
      <c r="E67" s="25" t="s">
        <v>100</v>
      </c>
      <c r="F67" s="26">
        <v>-214435.05</v>
      </c>
      <c r="H67" s="50"/>
      <c r="I67" s="15">
        <f t="shared" si="0"/>
        <v>-214435</v>
      </c>
    </row>
    <row r="68" spans="1:9">
      <c r="A68" s="25" t="s">
        <v>295</v>
      </c>
      <c r="B68" s="25" t="s">
        <v>296</v>
      </c>
      <c r="C68" s="25" t="s">
        <v>156</v>
      </c>
      <c r="D68" s="25" t="s">
        <v>162</v>
      </c>
      <c r="E68" s="25" t="s">
        <v>100</v>
      </c>
      <c r="F68" s="26">
        <v>314885.84000000003</v>
      </c>
      <c r="H68" s="50"/>
      <c r="I68" s="15">
        <f t="shared" ref="I68:I129" si="1">ROUND(F68,0)</f>
        <v>314886</v>
      </c>
    </row>
    <row r="69" spans="1:9">
      <c r="A69" s="25" t="s">
        <v>297</v>
      </c>
      <c r="B69" s="25" t="s">
        <v>298</v>
      </c>
      <c r="C69" s="25" t="s">
        <v>156</v>
      </c>
      <c r="D69" s="25" t="s">
        <v>162</v>
      </c>
      <c r="E69" s="25" t="s">
        <v>100</v>
      </c>
      <c r="F69" s="26">
        <v>714462.1</v>
      </c>
      <c r="H69" s="50"/>
      <c r="I69" s="15">
        <f t="shared" si="1"/>
        <v>714462</v>
      </c>
    </row>
    <row r="70" spans="1:9">
      <c r="A70" s="25" t="s">
        <v>299</v>
      </c>
      <c r="B70" s="25" t="s">
        <v>300</v>
      </c>
      <c r="C70" s="25" t="s">
        <v>156</v>
      </c>
      <c r="D70" s="25" t="s">
        <v>162</v>
      </c>
      <c r="E70" s="25" t="s">
        <v>100</v>
      </c>
      <c r="F70" s="26">
        <v>200517.52</v>
      </c>
      <c r="H70" s="50"/>
      <c r="I70" s="15">
        <f t="shared" si="1"/>
        <v>200518</v>
      </c>
    </row>
    <row r="71" spans="1:9">
      <c r="A71" s="25" t="s">
        <v>301</v>
      </c>
      <c r="B71" s="25" t="s">
        <v>302</v>
      </c>
      <c r="C71" s="25" t="s">
        <v>156</v>
      </c>
      <c r="D71" s="25" t="s">
        <v>162</v>
      </c>
      <c r="E71" s="25" t="s">
        <v>100</v>
      </c>
      <c r="F71" s="26">
        <v>23121.01</v>
      </c>
      <c r="H71" s="50"/>
      <c r="I71" s="15">
        <f t="shared" si="1"/>
        <v>23121</v>
      </c>
    </row>
    <row r="72" spans="1:9">
      <c r="A72" s="25" t="s">
        <v>303</v>
      </c>
      <c r="B72" s="25" t="s">
        <v>304</v>
      </c>
      <c r="C72" s="25" t="s">
        <v>156</v>
      </c>
      <c r="D72" s="25" t="s">
        <v>162</v>
      </c>
      <c r="E72" s="25" t="s">
        <v>100</v>
      </c>
      <c r="F72" s="26">
        <v>34759.760000000002</v>
      </c>
      <c r="G72" s="3">
        <f>30689-75610.94</f>
        <v>-44921.94</v>
      </c>
      <c r="H72" s="50"/>
      <c r="I72" s="15">
        <f>ROUND(F72,0)+G72</f>
        <v>-10161.940000000002</v>
      </c>
    </row>
    <row r="73" spans="1:9">
      <c r="A73" s="25" t="s">
        <v>305</v>
      </c>
      <c r="B73" s="25" t="s">
        <v>306</v>
      </c>
      <c r="C73" s="25" t="s">
        <v>156</v>
      </c>
      <c r="D73" s="25" t="s">
        <v>162</v>
      </c>
      <c r="E73" s="25" t="s">
        <v>100</v>
      </c>
      <c r="F73" s="26">
        <v>115056.63</v>
      </c>
      <c r="H73" s="50"/>
      <c r="I73" s="15">
        <f t="shared" si="1"/>
        <v>115057</v>
      </c>
    </row>
    <row r="74" spans="1:9">
      <c r="A74" s="25" t="s">
        <v>2226</v>
      </c>
      <c r="B74" s="25" t="s">
        <v>727</v>
      </c>
      <c r="C74" s="25" t="s">
        <v>872</v>
      </c>
      <c r="D74" s="25" t="s">
        <v>162</v>
      </c>
      <c r="E74" s="25" t="s">
        <v>100</v>
      </c>
      <c r="F74" s="26">
        <v>0</v>
      </c>
      <c r="H74" s="50"/>
      <c r="I74" s="15">
        <f t="shared" si="1"/>
        <v>0</v>
      </c>
    </row>
    <row r="75" spans="1:9">
      <c r="A75" s="25" t="s">
        <v>307</v>
      </c>
      <c r="B75" s="25" t="s">
        <v>308</v>
      </c>
      <c r="C75" s="25" t="s">
        <v>156</v>
      </c>
      <c r="D75" s="25" t="s">
        <v>162</v>
      </c>
      <c r="E75" s="25" t="s">
        <v>100</v>
      </c>
      <c r="F75" s="26">
        <v>-48942.400000000001</v>
      </c>
      <c r="H75" s="50"/>
      <c r="I75" s="15">
        <f t="shared" si="1"/>
        <v>-48942</v>
      </c>
    </row>
    <row r="76" spans="1:9">
      <c r="A76" s="25" t="s">
        <v>309</v>
      </c>
      <c r="B76" s="25" t="s">
        <v>310</v>
      </c>
      <c r="C76" s="25" t="s">
        <v>156</v>
      </c>
      <c r="D76" s="25" t="s">
        <v>162</v>
      </c>
      <c r="E76" s="25" t="s">
        <v>100</v>
      </c>
      <c r="F76" s="26">
        <v>30646.91</v>
      </c>
      <c r="H76" s="50"/>
      <c r="I76" s="15">
        <f t="shared" si="1"/>
        <v>30647</v>
      </c>
    </row>
    <row r="77" spans="1:9">
      <c r="A77" s="25" t="s">
        <v>311</v>
      </c>
      <c r="B77" s="25" t="s">
        <v>312</v>
      </c>
      <c r="C77" s="25" t="s">
        <v>156</v>
      </c>
      <c r="D77" s="25" t="s">
        <v>169</v>
      </c>
      <c r="E77" s="25" t="s">
        <v>313</v>
      </c>
      <c r="F77" s="26">
        <v>8362311.25</v>
      </c>
      <c r="H77" s="50"/>
      <c r="I77" s="15">
        <f t="shared" si="1"/>
        <v>8362311</v>
      </c>
    </row>
    <row r="78" spans="1:9">
      <c r="A78" s="25" t="s">
        <v>314</v>
      </c>
      <c r="B78" s="25" t="s">
        <v>315</v>
      </c>
      <c r="C78" s="25" t="s">
        <v>156</v>
      </c>
      <c r="D78" s="25" t="s">
        <v>157</v>
      </c>
      <c r="E78" s="25" t="s">
        <v>100</v>
      </c>
      <c r="F78" s="26">
        <v>0</v>
      </c>
      <c r="H78" s="50"/>
      <c r="I78" s="15">
        <f t="shared" si="1"/>
        <v>0</v>
      </c>
    </row>
    <row r="79" spans="1:9">
      <c r="A79" s="25" t="s">
        <v>316</v>
      </c>
      <c r="B79" s="25" t="s">
        <v>317</v>
      </c>
      <c r="C79" s="25" t="s">
        <v>156</v>
      </c>
      <c r="D79" s="25" t="s">
        <v>162</v>
      </c>
      <c r="E79" s="25" t="s">
        <v>100</v>
      </c>
      <c r="F79" s="26">
        <v>345881.86</v>
      </c>
      <c r="H79" s="50"/>
      <c r="I79" s="15">
        <f t="shared" si="1"/>
        <v>345882</v>
      </c>
    </row>
    <row r="80" spans="1:9">
      <c r="A80" s="25" t="s">
        <v>318</v>
      </c>
      <c r="B80" s="25" t="s">
        <v>319</v>
      </c>
      <c r="C80" s="25" t="s">
        <v>156</v>
      </c>
      <c r="D80" s="25" t="s">
        <v>162</v>
      </c>
      <c r="E80" s="25" t="s">
        <v>100</v>
      </c>
      <c r="F80" s="26">
        <v>0</v>
      </c>
      <c r="H80" s="50"/>
      <c r="I80" s="15">
        <f t="shared" si="1"/>
        <v>0</v>
      </c>
    </row>
    <row r="81" spans="1:9">
      <c r="A81" s="25" t="s">
        <v>320</v>
      </c>
      <c r="B81" s="25" t="s">
        <v>321</v>
      </c>
      <c r="C81" s="25" t="s">
        <v>156</v>
      </c>
      <c r="D81" s="25" t="s">
        <v>162</v>
      </c>
      <c r="E81" s="25" t="s">
        <v>100</v>
      </c>
      <c r="F81" s="26">
        <v>110275.54</v>
      </c>
      <c r="H81" s="50"/>
      <c r="I81" s="15">
        <f t="shared" si="1"/>
        <v>110276</v>
      </c>
    </row>
    <row r="82" spans="1:9">
      <c r="A82" s="25" t="s">
        <v>322</v>
      </c>
      <c r="B82" s="25" t="s">
        <v>323</v>
      </c>
      <c r="C82" s="25" t="s">
        <v>156</v>
      </c>
      <c r="D82" s="25" t="s">
        <v>162</v>
      </c>
      <c r="E82" s="25" t="s">
        <v>100</v>
      </c>
      <c r="F82" s="26">
        <v>342402.95</v>
      </c>
      <c r="H82" s="50"/>
      <c r="I82" s="15">
        <f t="shared" si="1"/>
        <v>342403</v>
      </c>
    </row>
    <row r="83" spans="1:9">
      <c r="A83" s="25" t="s">
        <v>324</v>
      </c>
      <c r="B83" s="25" t="s">
        <v>325</v>
      </c>
      <c r="C83" s="25" t="s">
        <v>156</v>
      </c>
      <c r="D83" s="25" t="s">
        <v>162</v>
      </c>
      <c r="E83" s="25" t="s">
        <v>100</v>
      </c>
      <c r="F83" s="26">
        <v>30536.68</v>
      </c>
      <c r="H83" s="50"/>
      <c r="I83" s="15">
        <f t="shared" si="1"/>
        <v>30537</v>
      </c>
    </row>
    <row r="84" spans="1:9">
      <c r="A84" s="25" t="s">
        <v>326</v>
      </c>
      <c r="B84" s="25" t="s">
        <v>2150</v>
      </c>
      <c r="C84" s="25" t="s">
        <v>156</v>
      </c>
      <c r="D84" s="25" t="s">
        <v>162</v>
      </c>
      <c r="E84" s="25" t="s">
        <v>100</v>
      </c>
      <c r="F84" s="26">
        <v>7231.09</v>
      </c>
      <c r="H84" s="50"/>
      <c r="I84" s="15">
        <f t="shared" si="1"/>
        <v>7231</v>
      </c>
    </row>
    <row r="85" spans="1:9">
      <c r="A85" s="25" t="s">
        <v>328</v>
      </c>
      <c r="B85" s="25" t="s">
        <v>329</v>
      </c>
      <c r="C85" s="25" t="s">
        <v>156</v>
      </c>
      <c r="D85" s="25" t="s">
        <v>169</v>
      </c>
      <c r="E85" s="25" t="s">
        <v>330</v>
      </c>
      <c r="F85" s="26">
        <v>836328.12</v>
      </c>
      <c r="H85" s="50"/>
      <c r="I85" s="15">
        <f t="shared" si="1"/>
        <v>836328</v>
      </c>
    </row>
    <row r="86" spans="1:9">
      <c r="A86" s="25" t="s">
        <v>331</v>
      </c>
      <c r="B86" s="25" t="s">
        <v>332</v>
      </c>
      <c r="C86" s="25" t="s">
        <v>156</v>
      </c>
      <c r="D86" s="25" t="s">
        <v>157</v>
      </c>
      <c r="E86" s="25" t="s">
        <v>100</v>
      </c>
      <c r="F86" s="26">
        <v>0</v>
      </c>
      <c r="H86" s="50"/>
      <c r="I86" s="15">
        <f t="shared" si="1"/>
        <v>0</v>
      </c>
    </row>
    <row r="87" spans="1:9">
      <c r="A87" s="25" t="s">
        <v>333</v>
      </c>
      <c r="B87" s="25" t="s">
        <v>334</v>
      </c>
      <c r="C87" s="25" t="s">
        <v>156</v>
      </c>
      <c r="D87" s="25" t="s">
        <v>162</v>
      </c>
      <c r="E87" s="25" t="s">
        <v>100</v>
      </c>
      <c r="F87" s="26">
        <v>137701.18</v>
      </c>
      <c r="H87" s="50"/>
      <c r="I87" s="15">
        <f t="shared" si="1"/>
        <v>137701</v>
      </c>
    </row>
    <row r="88" spans="1:9">
      <c r="A88" s="25" t="s">
        <v>335</v>
      </c>
      <c r="B88" s="25" t="s">
        <v>336</v>
      </c>
      <c r="C88" s="25" t="s">
        <v>156</v>
      </c>
      <c r="D88" s="25" t="s">
        <v>162</v>
      </c>
      <c r="E88" s="25" t="s">
        <v>100</v>
      </c>
      <c r="F88" s="26">
        <v>114168.27</v>
      </c>
      <c r="H88" s="50"/>
      <c r="I88" s="15">
        <f t="shared" si="1"/>
        <v>114168</v>
      </c>
    </row>
    <row r="89" spans="1:9">
      <c r="A89" s="25" t="s">
        <v>337</v>
      </c>
      <c r="B89" s="25" t="s">
        <v>338</v>
      </c>
      <c r="C89" s="25" t="s">
        <v>156</v>
      </c>
      <c r="D89" s="25" t="s">
        <v>169</v>
      </c>
      <c r="E89" s="25" t="s">
        <v>339</v>
      </c>
      <c r="F89" s="26">
        <v>251869.45</v>
      </c>
      <c r="H89" s="50"/>
      <c r="I89" s="15">
        <f t="shared" si="1"/>
        <v>251869</v>
      </c>
    </row>
    <row r="90" spans="1:9">
      <c r="A90" s="25" t="s">
        <v>340</v>
      </c>
      <c r="B90" s="25" t="s">
        <v>341</v>
      </c>
      <c r="C90" s="25" t="s">
        <v>156</v>
      </c>
      <c r="D90" s="25" t="s">
        <v>169</v>
      </c>
      <c r="E90" s="25" t="s">
        <v>342</v>
      </c>
      <c r="F90" s="26">
        <v>9450508.8200000003</v>
      </c>
      <c r="H90" s="50"/>
      <c r="I90" s="15">
        <f t="shared" si="1"/>
        <v>9450509</v>
      </c>
    </row>
    <row r="91" spans="1:9">
      <c r="A91" s="25" t="s">
        <v>2151</v>
      </c>
      <c r="B91" s="25" t="s">
        <v>371</v>
      </c>
      <c r="C91" s="25" t="s">
        <v>156</v>
      </c>
      <c r="D91" s="25" t="s">
        <v>157</v>
      </c>
      <c r="E91" s="25" t="s">
        <v>100</v>
      </c>
      <c r="F91" s="26">
        <v>0</v>
      </c>
      <c r="H91" s="50"/>
      <c r="I91" s="15">
        <f t="shared" si="1"/>
        <v>0</v>
      </c>
    </row>
    <row r="92" spans="1:9">
      <c r="A92" s="25" t="s">
        <v>343</v>
      </c>
      <c r="B92" s="25" t="s">
        <v>2183</v>
      </c>
      <c r="C92" s="25" t="s">
        <v>156</v>
      </c>
      <c r="D92" s="25" t="s">
        <v>157</v>
      </c>
      <c r="E92" s="25" t="s">
        <v>100</v>
      </c>
      <c r="F92" s="26">
        <v>0</v>
      </c>
      <c r="H92" s="50"/>
      <c r="I92" s="15">
        <f t="shared" si="1"/>
        <v>0</v>
      </c>
    </row>
    <row r="93" spans="1:9">
      <c r="A93" s="25" t="s">
        <v>361</v>
      </c>
      <c r="B93" s="25" t="s">
        <v>2152</v>
      </c>
      <c r="C93" s="25" t="s">
        <v>156</v>
      </c>
      <c r="D93" s="25" t="s">
        <v>162</v>
      </c>
      <c r="E93" s="25" t="s">
        <v>100</v>
      </c>
      <c r="F93" s="26">
        <v>0</v>
      </c>
      <c r="H93" s="50"/>
      <c r="I93" s="15">
        <f t="shared" si="1"/>
        <v>0</v>
      </c>
    </row>
    <row r="94" spans="1:9">
      <c r="A94" s="25" t="s">
        <v>363</v>
      </c>
      <c r="B94" s="25" t="s">
        <v>2153</v>
      </c>
      <c r="C94" s="25" t="s">
        <v>156</v>
      </c>
      <c r="D94" s="25" t="s">
        <v>162</v>
      </c>
      <c r="E94" s="25" t="s">
        <v>100</v>
      </c>
      <c r="F94" s="26">
        <v>0</v>
      </c>
      <c r="H94" s="50"/>
      <c r="I94" s="15">
        <f t="shared" si="1"/>
        <v>0</v>
      </c>
    </row>
    <row r="95" spans="1:9">
      <c r="A95" s="25" t="s">
        <v>365</v>
      </c>
      <c r="B95" s="25" t="s">
        <v>366</v>
      </c>
      <c r="C95" s="25" t="s">
        <v>156</v>
      </c>
      <c r="D95" s="25" t="s">
        <v>162</v>
      </c>
      <c r="E95" s="25" t="s">
        <v>100</v>
      </c>
      <c r="F95" s="26">
        <v>0</v>
      </c>
      <c r="H95" s="50"/>
      <c r="I95" s="15">
        <f t="shared" si="1"/>
        <v>0</v>
      </c>
    </row>
    <row r="96" spans="1:9">
      <c r="A96" s="25" t="s">
        <v>2227</v>
      </c>
      <c r="B96" s="25" t="s">
        <v>2228</v>
      </c>
      <c r="C96" s="25" t="s">
        <v>156</v>
      </c>
      <c r="D96" s="25" t="s">
        <v>169</v>
      </c>
      <c r="E96" s="25" t="s">
        <v>2229</v>
      </c>
      <c r="F96" s="26">
        <v>0</v>
      </c>
      <c r="H96" s="50"/>
      <c r="I96" s="15">
        <f t="shared" si="1"/>
        <v>0</v>
      </c>
    </row>
    <row r="97" spans="1:9">
      <c r="A97" s="25" t="s">
        <v>370</v>
      </c>
      <c r="B97" s="25" t="s">
        <v>2154</v>
      </c>
      <c r="C97" s="25" t="s">
        <v>156</v>
      </c>
      <c r="D97" s="25" t="s">
        <v>157</v>
      </c>
      <c r="E97" s="25" t="s">
        <v>100</v>
      </c>
      <c r="F97" s="26">
        <v>0</v>
      </c>
      <c r="H97" s="50"/>
      <c r="I97" s="15">
        <f t="shared" si="1"/>
        <v>0</v>
      </c>
    </row>
    <row r="98" spans="1:9">
      <c r="A98" s="25" t="s">
        <v>374</v>
      </c>
      <c r="B98" s="25" t="s">
        <v>375</v>
      </c>
      <c r="C98" s="25" t="s">
        <v>156</v>
      </c>
      <c r="D98" s="25" t="s">
        <v>162</v>
      </c>
      <c r="E98" s="25" t="s">
        <v>100</v>
      </c>
      <c r="F98" s="26">
        <v>64560.7</v>
      </c>
      <c r="G98" s="3">
        <v>-37157.64</v>
      </c>
      <c r="H98" s="50"/>
      <c r="I98" s="15">
        <f>ROUND(F98,0)+G98</f>
        <v>27403.360000000001</v>
      </c>
    </row>
    <row r="99" spans="1:9">
      <c r="A99" s="25" t="s">
        <v>2155</v>
      </c>
      <c r="B99" s="25" t="s">
        <v>2156</v>
      </c>
      <c r="C99" s="25" t="s">
        <v>156</v>
      </c>
      <c r="D99" s="25" t="s">
        <v>162</v>
      </c>
      <c r="E99" s="25" t="s">
        <v>100</v>
      </c>
      <c r="F99" s="26">
        <v>0</v>
      </c>
      <c r="H99" s="50"/>
      <c r="I99" s="15">
        <f t="shared" si="1"/>
        <v>0</v>
      </c>
    </row>
    <row r="100" spans="1:9">
      <c r="A100" s="25" t="s">
        <v>378</v>
      </c>
      <c r="B100" s="25" t="s">
        <v>379</v>
      </c>
      <c r="C100" s="25" t="s">
        <v>156</v>
      </c>
      <c r="D100" s="25" t="s">
        <v>169</v>
      </c>
      <c r="E100" s="25" t="s">
        <v>2157</v>
      </c>
      <c r="F100" s="26">
        <v>64560.7</v>
      </c>
      <c r="H100" s="50"/>
      <c r="I100" s="15">
        <f>ROUND(F100,0)+G98</f>
        <v>27403.360000000001</v>
      </c>
    </row>
    <row r="101" spans="1:9">
      <c r="A101" s="25" t="s">
        <v>2187</v>
      </c>
      <c r="B101" s="25" t="s">
        <v>2210</v>
      </c>
      <c r="C101" s="25" t="s">
        <v>156</v>
      </c>
      <c r="D101" s="25" t="s">
        <v>157</v>
      </c>
      <c r="E101" s="25" t="s">
        <v>100</v>
      </c>
      <c r="F101" s="26">
        <v>0</v>
      </c>
      <c r="H101" s="50"/>
      <c r="I101" s="15">
        <f t="shared" si="1"/>
        <v>0</v>
      </c>
    </row>
    <row r="102" spans="1:9">
      <c r="A102" s="25" t="s">
        <v>2188</v>
      </c>
      <c r="B102" s="25" t="s">
        <v>346</v>
      </c>
      <c r="C102" s="25" t="s">
        <v>156</v>
      </c>
      <c r="D102" s="25" t="s">
        <v>162</v>
      </c>
      <c r="E102" s="25" t="s">
        <v>100</v>
      </c>
      <c r="F102" s="26">
        <v>91172.54</v>
      </c>
      <c r="H102" s="50"/>
      <c r="I102" s="15">
        <f t="shared" si="1"/>
        <v>91173</v>
      </c>
    </row>
    <row r="103" spans="1:9">
      <c r="A103" s="25" t="s">
        <v>2189</v>
      </c>
      <c r="B103" s="25" t="s">
        <v>348</v>
      </c>
      <c r="C103" s="25" t="s">
        <v>156</v>
      </c>
      <c r="D103" s="25" t="s">
        <v>162</v>
      </c>
      <c r="E103" s="25" t="s">
        <v>100</v>
      </c>
      <c r="F103" s="26">
        <v>478</v>
      </c>
      <c r="H103" s="50"/>
      <c r="I103" s="15">
        <f t="shared" si="1"/>
        <v>478</v>
      </c>
    </row>
    <row r="104" spans="1:9">
      <c r="A104" s="25" t="s">
        <v>2190</v>
      </c>
      <c r="B104" s="25" t="s">
        <v>350</v>
      </c>
      <c r="C104" s="25" t="s">
        <v>156</v>
      </c>
      <c r="D104" s="25" t="s">
        <v>162</v>
      </c>
      <c r="E104" s="25" t="s">
        <v>100</v>
      </c>
      <c r="F104" s="26">
        <v>3396.05</v>
      </c>
      <c r="H104" s="50"/>
      <c r="I104" s="15">
        <f t="shared" si="1"/>
        <v>3396</v>
      </c>
    </row>
    <row r="105" spans="1:9">
      <c r="A105" s="25" t="s">
        <v>2191</v>
      </c>
      <c r="B105" s="25" t="s">
        <v>352</v>
      </c>
      <c r="C105" s="25" t="s">
        <v>156</v>
      </c>
      <c r="D105" s="25" t="s">
        <v>162</v>
      </c>
      <c r="E105" s="25" t="s">
        <v>100</v>
      </c>
      <c r="F105" s="26">
        <v>59165.86</v>
      </c>
      <c r="G105" s="3">
        <v>-59165.86</v>
      </c>
      <c r="H105" s="50"/>
      <c r="I105" s="15">
        <f>ROUND(F105,0)+G105</f>
        <v>0.13999999999941792</v>
      </c>
    </row>
    <row r="106" spans="1:9">
      <c r="A106" s="25" t="s">
        <v>2192</v>
      </c>
      <c r="B106" s="25" t="s">
        <v>2211</v>
      </c>
      <c r="C106" s="25" t="s">
        <v>156</v>
      </c>
      <c r="D106" s="25" t="s">
        <v>162</v>
      </c>
      <c r="E106" s="25" t="s">
        <v>100</v>
      </c>
      <c r="F106" s="26">
        <v>18042</v>
      </c>
      <c r="H106" s="50"/>
      <c r="I106" s="15">
        <f t="shared" si="1"/>
        <v>18042</v>
      </c>
    </row>
    <row r="107" spans="1:9">
      <c r="A107" s="25" t="s">
        <v>2193</v>
      </c>
      <c r="B107" s="25" t="s">
        <v>2271</v>
      </c>
      <c r="C107" s="25" t="s">
        <v>156</v>
      </c>
      <c r="D107" s="25" t="s">
        <v>162</v>
      </c>
      <c r="E107" s="25" t="s">
        <v>100</v>
      </c>
      <c r="F107" s="26">
        <v>0</v>
      </c>
      <c r="H107" s="50"/>
      <c r="I107" s="15">
        <f t="shared" si="1"/>
        <v>0</v>
      </c>
    </row>
    <row r="108" spans="1:9">
      <c r="A108" s="25" t="s">
        <v>2194</v>
      </c>
      <c r="B108" s="25" t="s">
        <v>2272</v>
      </c>
      <c r="C108" s="25" t="s">
        <v>156</v>
      </c>
      <c r="D108" s="25" t="s">
        <v>162</v>
      </c>
      <c r="E108" s="25" t="s">
        <v>100</v>
      </c>
      <c r="F108" s="26">
        <v>0</v>
      </c>
      <c r="H108" s="50"/>
      <c r="I108" s="15">
        <f t="shared" si="1"/>
        <v>0</v>
      </c>
    </row>
    <row r="109" spans="1:9">
      <c r="A109" s="25" t="s">
        <v>2195</v>
      </c>
      <c r="B109" s="25" t="s">
        <v>2273</v>
      </c>
      <c r="C109" s="25" t="s">
        <v>156</v>
      </c>
      <c r="D109" s="25" t="s">
        <v>162</v>
      </c>
      <c r="E109" s="25" t="s">
        <v>100</v>
      </c>
      <c r="F109" s="26">
        <v>45571.5</v>
      </c>
      <c r="H109" s="50"/>
      <c r="I109" s="15">
        <f t="shared" si="1"/>
        <v>45572</v>
      </c>
    </row>
    <row r="110" spans="1:9">
      <c r="A110" s="25" t="s">
        <v>2232</v>
      </c>
      <c r="B110" s="25" t="s">
        <v>2214</v>
      </c>
      <c r="C110" s="25" t="s">
        <v>156</v>
      </c>
      <c r="D110" s="25" t="s">
        <v>169</v>
      </c>
      <c r="E110" s="25" t="s">
        <v>2233</v>
      </c>
      <c r="F110" s="26">
        <v>217825.95</v>
      </c>
      <c r="H110" s="50"/>
      <c r="I110" s="15">
        <f>ROUND(F110,0)+G105</f>
        <v>158660.14000000001</v>
      </c>
    </row>
    <row r="111" spans="1:9">
      <c r="A111" s="25" t="s">
        <v>381</v>
      </c>
      <c r="B111" s="25" t="s">
        <v>382</v>
      </c>
      <c r="C111" s="25" t="s">
        <v>156</v>
      </c>
      <c r="D111" s="25" t="s">
        <v>157</v>
      </c>
      <c r="E111" s="25" t="s">
        <v>100</v>
      </c>
      <c r="F111" s="26">
        <v>0</v>
      </c>
      <c r="H111" s="50"/>
      <c r="I111" s="15">
        <f t="shared" si="1"/>
        <v>0</v>
      </c>
    </row>
    <row r="112" spans="1:9">
      <c r="A112" s="25" t="s">
        <v>383</v>
      </c>
      <c r="B112" s="25" t="s">
        <v>384</v>
      </c>
      <c r="C112" s="25" t="s">
        <v>156</v>
      </c>
      <c r="D112" s="25" t="s">
        <v>162</v>
      </c>
      <c r="E112" s="25" t="s">
        <v>100</v>
      </c>
      <c r="F112" s="26">
        <v>-133675.54</v>
      </c>
      <c r="G112" s="3">
        <v>14364</v>
      </c>
      <c r="H112" s="50"/>
      <c r="I112" s="15">
        <f>ROUND(F112,0)+G112</f>
        <v>-119312</v>
      </c>
    </row>
    <row r="113" spans="1:9">
      <c r="A113" s="25" t="s">
        <v>385</v>
      </c>
      <c r="B113" s="25" t="s">
        <v>386</v>
      </c>
      <c r="C113" s="25" t="s">
        <v>156</v>
      </c>
      <c r="D113" s="25" t="s">
        <v>162</v>
      </c>
      <c r="E113" s="25" t="s">
        <v>100</v>
      </c>
      <c r="F113" s="26">
        <v>54767.16</v>
      </c>
      <c r="H113" s="50"/>
      <c r="I113" s="49">
        <f t="shared" si="1"/>
        <v>54767</v>
      </c>
    </row>
    <row r="114" spans="1:9">
      <c r="A114" s="25" t="s">
        <v>387</v>
      </c>
      <c r="B114" s="25" t="s">
        <v>2234</v>
      </c>
      <c r="C114" s="25" t="s">
        <v>156</v>
      </c>
      <c r="D114" s="25" t="s">
        <v>162</v>
      </c>
      <c r="E114" s="25" t="s">
        <v>100</v>
      </c>
      <c r="F114" s="26">
        <v>0</v>
      </c>
      <c r="H114" s="50"/>
      <c r="I114" s="15">
        <f t="shared" si="1"/>
        <v>0</v>
      </c>
    </row>
    <row r="115" spans="1:9">
      <c r="A115" s="25" t="s">
        <v>389</v>
      </c>
      <c r="B115" s="25" t="s">
        <v>390</v>
      </c>
      <c r="C115" s="25" t="s">
        <v>156</v>
      </c>
      <c r="D115" s="25" t="s">
        <v>162</v>
      </c>
      <c r="E115" s="25" t="s">
        <v>100</v>
      </c>
      <c r="F115" s="26">
        <v>21747.43</v>
      </c>
      <c r="H115" s="50"/>
      <c r="I115" s="49">
        <f t="shared" si="1"/>
        <v>21747</v>
      </c>
    </row>
    <row r="116" spans="1:9">
      <c r="A116" s="25" t="s">
        <v>391</v>
      </c>
      <c r="B116" s="25" t="s">
        <v>392</v>
      </c>
      <c r="C116" s="25" t="s">
        <v>156</v>
      </c>
      <c r="D116" s="25" t="s">
        <v>162</v>
      </c>
      <c r="E116" s="25" t="s">
        <v>100</v>
      </c>
      <c r="F116" s="26">
        <v>79218.7</v>
      </c>
      <c r="H116" s="50"/>
      <c r="I116" s="49">
        <f t="shared" si="1"/>
        <v>79219</v>
      </c>
    </row>
    <row r="117" spans="1:9">
      <c r="A117" s="25" t="s">
        <v>393</v>
      </c>
      <c r="B117" s="25" t="s">
        <v>394</v>
      </c>
      <c r="C117" s="25" t="s">
        <v>156</v>
      </c>
      <c r="D117" s="25" t="s">
        <v>162</v>
      </c>
      <c r="E117" s="25" t="s">
        <v>100</v>
      </c>
      <c r="F117" s="26">
        <v>389.5</v>
      </c>
      <c r="H117" s="50"/>
      <c r="I117" s="15">
        <f t="shared" si="1"/>
        <v>390</v>
      </c>
    </row>
    <row r="118" spans="1:9">
      <c r="A118" s="25" t="s">
        <v>395</v>
      </c>
      <c r="B118" s="25" t="s">
        <v>396</v>
      </c>
      <c r="C118" s="25" t="s">
        <v>156</v>
      </c>
      <c r="D118" s="25" t="s">
        <v>162</v>
      </c>
      <c r="E118" s="25" t="s">
        <v>100</v>
      </c>
      <c r="F118" s="26">
        <v>-5199.5200000000004</v>
      </c>
      <c r="H118" s="50"/>
      <c r="I118" s="49">
        <f t="shared" si="1"/>
        <v>-5200</v>
      </c>
    </row>
    <row r="119" spans="1:9">
      <c r="A119" s="25" t="s">
        <v>397</v>
      </c>
      <c r="B119" s="25" t="s">
        <v>398</v>
      </c>
      <c r="C119" s="25" t="s">
        <v>156</v>
      </c>
      <c r="D119" s="25" t="s">
        <v>162</v>
      </c>
      <c r="E119" s="25" t="s">
        <v>100</v>
      </c>
      <c r="F119" s="26">
        <v>37448.300000000003</v>
      </c>
      <c r="H119" s="50"/>
      <c r="I119" s="49">
        <f t="shared" si="1"/>
        <v>37448</v>
      </c>
    </row>
    <row r="120" spans="1:9">
      <c r="A120" s="25" t="s">
        <v>399</v>
      </c>
      <c r="B120" s="25" t="s">
        <v>400</v>
      </c>
      <c r="C120" s="25" t="s">
        <v>156</v>
      </c>
      <c r="D120" s="25" t="s">
        <v>162</v>
      </c>
      <c r="E120" s="25" t="s">
        <v>100</v>
      </c>
      <c r="F120" s="26">
        <v>14458.84</v>
      </c>
      <c r="H120" s="50"/>
      <c r="I120" s="49">
        <f t="shared" si="1"/>
        <v>14459</v>
      </c>
    </row>
    <row r="121" spans="1:9">
      <c r="A121" s="25" t="s">
        <v>401</v>
      </c>
      <c r="B121" s="25" t="s">
        <v>402</v>
      </c>
      <c r="C121" s="25" t="s">
        <v>156</v>
      </c>
      <c r="D121" s="25" t="s">
        <v>162</v>
      </c>
      <c r="E121" s="25" t="s">
        <v>100</v>
      </c>
      <c r="F121" s="26">
        <v>10669.8</v>
      </c>
      <c r="H121" s="50"/>
      <c r="I121" s="49">
        <f t="shared" si="1"/>
        <v>10670</v>
      </c>
    </row>
    <row r="122" spans="1:9">
      <c r="A122" s="25" t="s">
        <v>403</v>
      </c>
      <c r="B122" s="25" t="s">
        <v>2023</v>
      </c>
      <c r="C122" s="25" t="s">
        <v>156</v>
      </c>
      <c r="D122" s="25" t="s">
        <v>162</v>
      </c>
      <c r="E122" s="25" t="s">
        <v>100</v>
      </c>
      <c r="F122" s="26">
        <v>0</v>
      </c>
      <c r="H122" s="50"/>
      <c r="I122" s="15">
        <f t="shared" si="1"/>
        <v>0</v>
      </c>
    </row>
    <row r="123" spans="1:9">
      <c r="A123" s="25" t="s">
        <v>405</v>
      </c>
      <c r="B123" s="25" t="s">
        <v>2215</v>
      </c>
      <c r="C123" s="25" t="s">
        <v>156</v>
      </c>
      <c r="D123" s="25" t="s">
        <v>162</v>
      </c>
      <c r="E123" s="25" t="s">
        <v>100</v>
      </c>
      <c r="F123" s="26">
        <v>0</v>
      </c>
      <c r="H123" s="50"/>
      <c r="I123" s="15">
        <f t="shared" si="1"/>
        <v>0</v>
      </c>
    </row>
    <row r="124" spans="1:9">
      <c r="A124" s="25" t="s">
        <v>407</v>
      </c>
      <c r="B124" s="25" t="s">
        <v>2216</v>
      </c>
      <c r="C124" s="25" t="s">
        <v>156</v>
      </c>
      <c r="D124" s="25" t="s">
        <v>162</v>
      </c>
      <c r="E124" s="25" t="s">
        <v>100</v>
      </c>
      <c r="F124" s="26">
        <v>0</v>
      </c>
      <c r="H124" s="50"/>
      <c r="I124" s="15">
        <f t="shared" si="1"/>
        <v>0</v>
      </c>
    </row>
    <row r="125" spans="1:9">
      <c r="A125" s="25" t="s">
        <v>408</v>
      </c>
      <c r="B125" s="25" t="s">
        <v>409</v>
      </c>
      <c r="C125" s="25" t="s">
        <v>156</v>
      </c>
      <c r="D125" s="25" t="s">
        <v>169</v>
      </c>
      <c r="E125" s="25" t="s">
        <v>410</v>
      </c>
      <c r="F125" s="26">
        <v>79824.67</v>
      </c>
      <c r="H125" s="50"/>
      <c r="I125" s="15">
        <f>ROUND(F125,0)+G112</f>
        <v>94189</v>
      </c>
    </row>
    <row r="126" spans="1:9">
      <c r="A126" s="25" t="s">
        <v>411</v>
      </c>
      <c r="B126" s="25" t="s">
        <v>412</v>
      </c>
      <c r="C126" s="25" t="s">
        <v>156</v>
      </c>
      <c r="D126" s="25" t="s">
        <v>157</v>
      </c>
      <c r="E126" s="25" t="s">
        <v>100</v>
      </c>
      <c r="F126" s="26">
        <v>0</v>
      </c>
      <c r="H126" s="50"/>
      <c r="I126" s="15">
        <f t="shared" si="1"/>
        <v>0</v>
      </c>
    </row>
    <row r="127" spans="1:9">
      <c r="A127" s="25" t="s">
        <v>413</v>
      </c>
      <c r="B127" s="25" t="s">
        <v>414</v>
      </c>
      <c r="C127" s="25" t="s">
        <v>156</v>
      </c>
      <c r="D127" s="25" t="s">
        <v>162</v>
      </c>
      <c r="E127" s="25" t="s">
        <v>100</v>
      </c>
      <c r="F127" s="26">
        <v>14000</v>
      </c>
      <c r="H127" s="50"/>
      <c r="I127" s="15">
        <f t="shared" si="1"/>
        <v>14000</v>
      </c>
    </row>
    <row r="128" spans="1:9">
      <c r="A128" s="25" t="s">
        <v>415</v>
      </c>
      <c r="B128" s="25" t="s">
        <v>416</v>
      </c>
      <c r="C128" s="25" t="s">
        <v>156</v>
      </c>
      <c r="D128" s="25" t="s">
        <v>169</v>
      </c>
      <c r="E128" s="25" t="s">
        <v>417</v>
      </c>
      <c r="F128" s="26">
        <v>14000</v>
      </c>
      <c r="H128" s="50"/>
      <c r="I128" s="15">
        <f>ROUND(F128,0)+G128</f>
        <v>14000</v>
      </c>
    </row>
    <row r="129" spans="1:9">
      <c r="A129" s="25" t="s">
        <v>418</v>
      </c>
      <c r="B129" s="25" t="s">
        <v>419</v>
      </c>
      <c r="C129" s="25" t="s">
        <v>156</v>
      </c>
      <c r="D129" s="25" t="s">
        <v>157</v>
      </c>
      <c r="E129" s="25" t="s">
        <v>100</v>
      </c>
      <c r="F129" s="26">
        <v>0</v>
      </c>
      <c r="H129" s="50"/>
      <c r="I129" s="15">
        <f t="shared" si="1"/>
        <v>0</v>
      </c>
    </row>
    <row r="130" spans="1:9">
      <c r="A130" s="25" t="s">
        <v>420</v>
      </c>
      <c r="B130" s="25" t="s">
        <v>56</v>
      </c>
      <c r="C130" s="25" t="s">
        <v>156</v>
      </c>
      <c r="D130" s="25" t="s">
        <v>162</v>
      </c>
      <c r="E130" s="25" t="s">
        <v>100</v>
      </c>
      <c r="F130" s="26">
        <v>3549.6</v>
      </c>
      <c r="H130" s="50"/>
      <c r="I130" s="15">
        <f>ROUND(F130,0)+G131</f>
        <v>0</v>
      </c>
    </row>
    <row r="131" spans="1:9">
      <c r="A131" s="25" t="s">
        <v>421</v>
      </c>
      <c r="B131" s="25" t="s">
        <v>422</v>
      </c>
      <c r="C131" s="25" t="s">
        <v>156</v>
      </c>
      <c r="D131" s="25" t="s">
        <v>169</v>
      </c>
      <c r="E131" s="25" t="s">
        <v>423</v>
      </c>
      <c r="F131" s="26">
        <v>3549.6</v>
      </c>
      <c r="G131" s="3">
        <v>-3550</v>
      </c>
      <c r="H131" s="50"/>
      <c r="I131" s="15">
        <f>ROUND(F131,0)+G131</f>
        <v>0</v>
      </c>
    </row>
    <row r="132" spans="1:9">
      <c r="A132" s="25" t="s">
        <v>2158</v>
      </c>
      <c r="B132" s="25" t="s">
        <v>425</v>
      </c>
      <c r="C132" s="25" t="s">
        <v>156</v>
      </c>
      <c r="D132" s="25" t="s">
        <v>169</v>
      </c>
      <c r="E132" s="25" t="s">
        <v>2159</v>
      </c>
      <c r="F132" s="26">
        <v>379760.92</v>
      </c>
      <c r="H132" s="50"/>
      <c r="I132" s="15">
        <f t="shared" ref="I132:I195" si="2">ROUND(F132,0)</f>
        <v>379761</v>
      </c>
    </row>
    <row r="133" spans="1:9">
      <c r="A133" s="25" t="s">
        <v>427</v>
      </c>
      <c r="B133" s="25" t="s">
        <v>428</v>
      </c>
      <c r="C133" s="25" t="s">
        <v>156</v>
      </c>
      <c r="D133" s="25" t="s">
        <v>157</v>
      </c>
      <c r="E133" s="25" t="s">
        <v>100</v>
      </c>
      <c r="F133" s="26">
        <v>0</v>
      </c>
      <c r="H133" s="50"/>
      <c r="I133" s="15">
        <f t="shared" si="2"/>
        <v>0</v>
      </c>
    </row>
    <row r="134" spans="1:9">
      <c r="A134" s="25" t="s">
        <v>430</v>
      </c>
      <c r="B134" s="25" t="s">
        <v>431</v>
      </c>
      <c r="C134" s="25" t="s">
        <v>156</v>
      </c>
      <c r="D134" s="25" t="s">
        <v>162</v>
      </c>
      <c r="E134" s="25" t="s">
        <v>100</v>
      </c>
      <c r="F134" s="26">
        <v>-52</v>
      </c>
      <c r="H134" s="50"/>
      <c r="I134" s="15">
        <f t="shared" si="2"/>
        <v>-52</v>
      </c>
    </row>
    <row r="135" spans="1:9">
      <c r="A135" s="25" t="s">
        <v>439</v>
      </c>
      <c r="B135" s="25" t="s">
        <v>440</v>
      </c>
      <c r="C135" s="25" t="s">
        <v>156</v>
      </c>
      <c r="D135" s="25" t="s">
        <v>162</v>
      </c>
      <c r="E135" s="25" t="s">
        <v>100</v>
      </c>
      <c r="F135" s="26">
        <v>-55280.17</v>
      </c>
      <c r="H135" s="50"/>
      <c r="I135" s="15">
        <f t="shared" si="2"/>
        <v>-55280</v>
      </c>
    </row>
    <row r="136" spans="1:9">
      <c r="A136" s="25" t="s">
        <v>441</v>
      </c>
      <c r="B136" s="25" t="s">
        <v>2160</v>
      </c>
      <c r="C136" s="25" t="s">
        <v>156</v>
      </c>
      <c r="D136" s="25" t="s">
        <v>162</v>
      </c>
      <c r="E136" s="25" t="s">
        <v>100</v>
      </c>
      <c r="F136" s="26">
        <v>0</v>
      </c>
      <c r="H136" s="50"/>
      <c r="I136" s="15">
        <f t="shared" si="2"/>
        <v>0</v>
      </c>
    </row>
    <row r="137" spans="1:9">
      <c r="A137" s="25" t="s">
        <v>443</v>
      </c>
      <c r="B137" s="25" t="s">
        <v>216</v>
      </c>
      <c r="C137" s="25" t="s">
        <v>156</v>
      </c>
      <c r="D137" s="25" t="s">
        <v>162</v>
      </c>
      <c r="E137" s="25" t="s">
        <v>100</v>
      </c>
      <c r="F137" s="26">
        <v>34400</v>
      </c>
      <c r="G137" s="3">
        <v>75610.94</v>
      </c>
      <c r="H137" s="50"/>
      <c r="I137" s="15">
        <f>ROUND(F137,0)+G137</f>
        <v>110010.94</v>
      </c>
    </row>
    <row r="138" spans="1:9">
      <c r="A138" s="25" t="s">
        <v>445</v>
      </c>
      <c r="B138" s="25" t="s">
        <v>2274</v>
      </c>
      <c r="C138" s="25" t="s">
        <v>156</v>
      </c>
      <c r="D138" s="25" t="s">
        <v>162</v>
      </c>
      <c r="E138" s="25" t="s">
        <v>100</v>
      </c>
      <c r="F138" s="26">
        <v>0</v>
      </c>
      <c r="H138" s="50"/>
      <c r="I138" s="15">
        <f t="shared" si="2"/>
        <v>0</v>
      </c>
    </row>
    <row r="139" spans="1:9">
      <c r="A139" s="25" t="s">
        <v>447</v>
      </c>
      <c r="B139" s="25" t="s">
        <v>448</v>
      </c>
      <c r="C139" s="25" t="s">
        <v>156</v>
      </c>
      <c r="D139" s="25" t="s">
        <v>162</v>
      </c>
      <c r="E139" s="25" t="s">
        <v>100</v>
      </c>
      <c r="F139" s="26">
        <v>642434.48</v>
      </c>
      <c r="H139" s="50"/>
      <c r="I139" s="15">
        <f t="shared" si="2"/>
        <v>642434</v>
      </c>
    </row>
    <row r="140" spans="1:9">
      <c r="A140" s="25" t="s">
        <v>449</v>
      </c>
      <c r="B140" s="25" t="s">
        <v>231</v>
      </c>
      <c r="C140" s="25" t="s">
        <v>156</v>
      </c>
      <c r="D140" s="25" t="s">
        <v>162</v>
      </c>
      <c r="E140" s="25" t="s">
        <v>100</v>
      </c>
      <c r="F140" s="26">
        <v>0</v>
      </c>
      <c r="H140" s="50"/>
      <c r="I140" s="15">
        <f t="shared" si="2"/>
        <v>0</v>
      </c>
    </row>
    <row r="141" spans="1:9">
      <c r="A141" s="25" t="s">
        <v>451</v>
      </c>
      <c r="B141" s="25" t="s">
        <v>2161</v>
      </c>
      <c r="C141" s="25" t="s">
        <v>156</v>
      </c>
      <c r="D141" s="25" t="s">
        <v>162</v>
      </c>
      <c r="E141" s="25" t="s">
        <v>100</v>
      </c>
      <c r="F141" s="26">
        <v>257034.52</v>
      </c>
      <c r="H141" s="50"/>
      <c r="I141" s="15">
        <f t="shared" si="2"/>
        <v>257035</v>
      </c>
    </row>
    <row r="142" spans="1:9">
      <c r="A142" s="25" t="s">
        <v>453</v>
      </c>
      <c r="B142" s="25" t="s">
        <v>2235</v>
      </c>
      <c r="C142" s="25" t="s">
        <v>156</v>
      </c>
      <c r="D142" s="25" t="s">
        <v>162</v>
      </c>
      <c r="E142" s="25" t="s">
        <v>100</v>
      </c>
      <c r="F142" s="26">
        <v>0</v>
      </c>
      <c r="H142" s="50"/>
      <c r="I142" s="15">
        <f t="shared" si="2"/>
        <v>0</v>
      </c>
    </row>
    <row r="143" spans="1:9">
      <c r="A143" s="25" t="s">
        <v>455</v>
      </c>
      <c r="B143" s="25" t="s">
        <v>456</v>
      </c>
      <c r="C143" s="25" t="s">
        <v>156</v>
      </c>
      <c r="D143" s="25" t="s">
        <v>162</v>
      </c>
      <c r="E143" s="25" t="s">
        <v>100</v>
      </c>
      <c r="F143" s="26">
        <v>0</v>
      </c>
      <c r="H143" s="50"/>
      <c r="I143" s="15">
        <f t="shared" si="2"/>
        <v>0</v>
      </c>
    </row>
    <row r="144" spans="1:9">
      <c r="A144" s="25" t="s">
        <v>457</v>
      </c>
      <c r="B144" s="25" t="s">
        <v>458</v>
      </c>
      <c r="C144" s="25" t="s">
        <v>156</v>
      </c>
      <c r="D144" s="25" t="s">
        <v>162</v>
      </c>
      <c r="E144" s="25" t="s">
        <v>100</v>
      </c>
      <c r="F144" s="26">
        <v>55764.54</v>
      </c>
      <c r="H144" s="50"/>
      <c r="I144" s="15">
        <f t="shared" si="2"/>
        <v>55765</v>
      </c>
    </row>
    <row r="145" spans="1:12">
      <c r="A145" s="25" t="s">
        <v>459</v>
      </c>
      <c r="B145" s="25" t="s">
        <v>460</v>
      </c>
      <c r="C145" s="25" t="s">
        <v>156</v>
      </c>
      <c r="D145" s="25" t="s">
        <v>162</v>
      </c>
      <c r="E145" s="25" t="s">
        <v>100</v>
      </c>
      <c r="F145" s="26">
        <v>5768.74</v>
      </c>
      <c r="H145" s="50"/>
      <c r="I145" s="15">
        <f t="shared" si="2"/>
        <v>5769</v>
      </c>
    </row>
    <row r="146" spans="1:12">
      <c r="A146" s="25" t="s">
        <v>461</v>
      </c>
      <c r="B146" s="25" t="s">
        <v>462</v>
      </c>
      <c r="C146" s="25" t="s">
        <v>156</v>
      </c>
      <c r="D146" s="25" t="s">
        <v>169</v>
      </c>
      <c r="E146" s="25" t="s">
        <v>463</v>
      </c>
      <c r="F146" s="26">
        <v>940070.11</v>
      </c>
      <c r="H146" s="50"/>
      <c r="I146" s="15">
        <f>ROUND(F146,0)+G137</f>
        <v>1015680.94</v>
      </c>
    </row>
    <row r="147" spans="1:12">
      <c r="A147" s="25" t="s">
        <v>464</v>
      </c>
      <c r="B147" s="25" t="s">
        <v>2236</v>
      </c>
      <c r="C147" s="25" t="s">
        <v>156</v>
      </c>
      <c r="D147" s="25" t="s">
        <v>157</v>
      </c>
      <c r="E147" s="25" t="s">
        <v>100</v>
      </c>
      <c r="F147" s="26">
        <v>0</v>
      </c>
      <c r="H147" s="50"/>
      <c r="I147" s="15">
        <f t="shared" si="2"/>
        <v>0</v>
      </c>
    </row>
    <row r="148" spans="1:12">
      <c r="A148" s="25" t="s">
        <v>466</v>
      </c>
      <c r="B148" s="25" t="s">
        <v>2237</v>
      </c>
      <c r="C148" s="25" t="s">
        <v>156</v>
      </c>
      <c r="D148" s="25" t="s">
        <v>157</v>
      </c>
      <c r="E148" s="25" t="s">
        <v>100</v>
      </c>
      <c r="F148" s="26">
        <v>0</v>
      </c>
      <c r="H148" s="50"/>
      <c r="I148" s="15">
        <f t="shared" si="2"/>
        <v>0</v>
      </c>
    </row>
    <row r="149" spans="1:12">
      <c r="A149" s="25" t="s">
        <v>2238</v>
      </c>
      <c r="B149" s="25" t="s">
        <v>600</v>
      </c>
      <c r="C149" s="25" t="s">
        <v>156</v>
      </c>
      <c r="D149" s="25" t="s">
        <v>157</v>
      </c>
      <c r="E149" s="25" t="s">
        <v>100</v>
      </c>
      <c r="F149" s="26">
        <v>0</v>
      </c>
      <c r="H149" s="50"/>
      <c r="I149" s="15">
        <f t="shared" si="2"/>
        <v>0</v>
      </c>
    </row>
    <row r="150" spans="1:12">
      <c r="A150" s="25" t="s">
        <v>2239</v>
      </c>
      <c r="B150" s="25" t="s">
        <v>602</v>
      </c>
      <c r="C150" s="25" t="s">
        <v>156</v>
      </c>
      <c r="D150" s="25" t="s">
        <v>162</v>
      </c>
      <c r="E150" s="25" t="s">
        <v>100</v>
      </c>
      <c r="F150" s="26">
        <v>-101613.85</v>
      </c>
      <c r="H150" s="50"/>
      <c r="I150" s="15">
        <f t="shared" si="2"/>
        <v>-101614</v>
      </c>
    </row>
    <row r="151" spans="1:12">
      <c r="A151" s="25" t="s">
        <v>2240</v>
      </c>
      <c r="B151" s="25" t="s">
        <v>604</v>
      </c>
      <c r="C151" s="25" t="s">
        <v>156</v>
      </c>
      <c r="D151" s="25" t="s">
        <v>162</v>
      </c>
      <c r="E151" s="25" t="s">
        <v>100</v>
      </c>
      <c r="F151" s="26">
        <v>86225.05</v>
      </c>
      <c r="H151" s="50"/>
      <c r="I151" s="15">
        <f t="shared" si="2"/>
        <v>86225</v>
      </c>
    </row>
    <row r="152" spans="1:12">
      <c r="A152" s="25" t="s">
        <v>2241</v>
      </c>
      <c r="B152" s="25" t="s">
        <v>606</v>
      </c>
      <c r="C152" s="25" t="s">
        <v>156</v>
      </c>
      <c r="D152" s="25" t="s">
        <v>162</v>
      </c>
      <c r="E152" s="25" t="s">
        <v>100</v>
      </c>
      <c r="F152" s="26">
        <v>1003.5</v>
      </c>
      <c r="H152" s="50"/>
      <c r="I152" s="15">
        <f t="shared" si="2"/>
        <v>1004</v>
      </c>
    </row>
    <row r="153" spans="1:12">
      <c r="A153" s="25" t="s">
        <v>2242</v>
      </c>
      <c r="B153" s="25" t="s">
        <v>608</v>
      </c>
      <c r="C153" s="25" t="s">
        <v>156</v>
      </c>
      <c r="D153" s="25" t="s">
        <v>162</v>
      </c>
      <c r="E153" s="25" t="s">
        <v>100</v>
      </c>
      <c r="F153" s="26">
        <v>54974.83</v>
      </c>
      <c r="H153" s="50"/>
      <c r="I153" s="15">
        <f t="shared" si="2"/>
        <v>54975</v>
      </c>
    </row>
    <row r="154" spans="1:12">
      <c r="A154" s="25" t="s">
        <v>2243</v>
      </c>
      <c r="B154" s="25" t="s">
        <v>610</v>
      </c>
      <c r="C154" s="25" t="s">
        <v>156</v>
      </c>
      <c r="D154" s="25" t="s">
        <v>162</v>
      </c>
      <c r="E154" s="25" t="s">
        <v>100</v>
      </c>
      <c r="F154" s="26">
        <v>758.85</v>
      </c>
      <c r="H154" s="50"/>
      <c r="I154" s="15">
        <f t="shared" si="2"/>
        <v>759</v>
      </c>
    </row>
    <row r="155" spans="1:12">
      <c r="A155" s="25" t="s">
        <v>2244</v>
      </c>
      <c r="B155" s="25" t="s">
        <v>612</v>
      </c>
      <c r="C155" s="25" t="s">
        <v>156</v>
      </c>
      <c r="D155" s="25" t="s">
        <v>162</v>
      </c>
      <c r="E155" s="25" t="s">
        <v>100</v>
      </c>
      <c r="F155" s="26">
        <v>0</v>
      </c>
      <c r="H155" s="50"/>
      <c r="I155" s="15">
        <f t="shared" si="2"/>
        <v>0</v>
      </c>
    </row>
    <row r="156" spans="1:12">
      <c r="A156" s="25" t="s">
        <v>2245</v>
      </c>
      <c r="B156" s="25" t="s">
        <v>614</v>
      </c>
      <c r="C156" s="25" t="s">
        <v>156</v>
      </c>
      <c r="D156" s="25" t="s">
        <v>162</v>
      </c>
      <c r="E156" s="25" t="s">
        <v>100</v>
      </c>
      <c r="F156" s="26">
        <v>0</v>
      </c>
      <c r="H156" s="50"/>
      <c r="I156" s="15">
        <f t="shared" si="2"/>
        <v>0</v>
      </c>
    </row>
    <row r="157" spans="1:12">
      <c r="A157" s="25" t="s">
        <v>2246</v>
      </c>
      <c r="B157" s="25" t="s">
        <v>616</v>
      </c>
      <c r="C157" s="25" t="s">
        <v>156</v>
      </c>
      <c r="D157" s="25" t="s">
        <v>162</v>
      </c>
      <c r="E157" s="25" t="s">
        <v>100</v>
      </c>
      <c r="F157" s="26">
        <v>0</v>
      </c>
      <c r="H157" s="50"/>
      <c r="I157" s="15">
        <f t="shared" si="2"/>
        <v>0</v>
      </c>
    </row>
    <row r="158" spans="1:12">
      <c r="A158" s="25" t="s">
        <v>2247</v>
      </c>
      <c r="B158" s="25" t="s">
        <v>618</v>
      </c>
      <c r="C158" s="25" t="s">
        <v>156</v>
      </c>
      <c r="D158" s="25" t="s">
        <v>169</v>
      </c>
      <c r="E158" s="25" t="s">
        <v>2248</v>
      </c>
      <c r="F158" s="26">
        <v>41348.379999999997</v>
      </c>
      <c r="H158" s="50"/>
      <c r="I158" s="15">
        <f t="shared" si="2"/>
        <v>41348</v>
      </c>
    </row>
    <row r="159" spans="1:12">
      <c r="A159" s="25" t="s">
        <v>468</v>
      </c>
      <c r="B159" s="25" t="s">
        <v>469</v>
      </c>
      <c r="C159" s="25" t="s">
        <v>156</v>
      </c>
      <c r="D159" s="25" t="s">
        <v>157</v>
      </c>
      <c r="E159" s="25" t="s">
        <v>100</v>
      </c>
      <c r="F159" s="26">
        <v>0</v>
      </c>
      <c r="H159" s="50"/>
      <c r="I159" s="15">
        <f t="shared" si="2"/>
        <v>0</v>
      </c>
    </row>
    <row r="160" spans="1:12" ht="16">
      <c r="A160" s="25" t="s">
        <v>470</v>
      </c>
      <c r="B160" s="25" t="s">
        <v>155</v>
      </c>
      <c r="C160" s="25" t="s">
        <v>156</v>
      </c>
      <c r="D160" s="25" t="s">
        <v>157</v>
      </c>
      <c r="E160" s="25" t="s">
        <v>100</v>
      </c>
      <c r="F160" s="26">
        <v>0</v>
      </c>
      <c r="H160" s="50"/>
      <c r="I160" s="15">
        <f t="shared" si="2"/>
        <v>0</v>
      </c>
      <c r="L160" s="23" t="s">
        <v>429</v>
      </c>
    </row>
    <row r="161" spans="1:17">
      <c r="A161" s="25" t="s">
        <v>471</v>
      </c>
      <c r="B161" s="25" t="s">
        <v>472</v>
      </c>
      <c r="C161" s="25" t="s">
        <v>156</v>
      </c>
      <c r="D161" s="25" t="s">
        <v>162</v>
      </c>
      <c r="E161" s="25" t="s">
        <v>100</v>
      </c>
      <c r="F161" s="26">
        <v>-3002761.94</v>
      </c>
      <c r="H161" s="50"/>
      <c r="I161" s="15">
        <f t="shared" si="2"/>
        <v>-3002762</v>
      </c>
      <c r="L161" s="24" t="s">
        <v>432</v>
      </c>
      <c r="M161" s="24" t="s">
        <v>148</v>
      </c>
      <c r="N161" s="24" t="s">
        <v>433</v>
      </c>
      <c r="O161" s="24" t="s">
        <v>475</v>
      </c>
      <c r="P161" s="24" t="s">
        <v>476</v>
      </c>
      <c r="Q161" s="24" t="s">
        <v>477</v>
      </c>
    </row>
    <row r="162" spans="1:17">
      <c r="A162" s="25" t="s">
        <v>473</v>
      </c>
      <c r="B162" s="25" t="s">
        <v>474</v>
      </c>
      <c r="C162" s="25" t="s">
        <v>156</v>
      </c>
      <c r="D162" s="25" t="s">
        <v>162</v>
      </c>
      <c r="E162" s="25" t="s">
        <v>100</v>
      </c>
      <c r="F162" s="26">
        <v>-1962189.5</v>
      </c>
      <c r="H162" s="50"/>
      <c r="I162" s="15">
        <f t="shared" si="2"/>
        <v>-1962190</v>
      </c>
      <c r="L162" s="25" t="s">
        <v>468</v>
      </c>
      <c r="M162" s="25" t="s">
        <v>469</v>
      </c>
      <c r="N162" s="26">
        <v>0</v>
      </c>
      <c r="O162" s="26">
        <v>0</v>
      </c>
      <c r="P162" s="26">
        <v>0</v>
      </c>
      <c r="Q162" s="26">
        <v>0</v>
      </c>
    </row>
    <row r="163" spans="1:17">
      <c r="A163" s="25" t="s">
        <v>478</v>
      </c>
      <c r="B163" s="25" t="s">
        <v>479</v>
      </c>
      <c r="C163" s="25" t="s">
        <v>156</v>
      </c>
      <c r="D163" s="25" t="s">
        <v>162</v>
      </c>
      <c r="E163" s="25" t="s">
        <v>100</v>
      </c>
      <c r="F163" s="26">
        <v>157198.07</v>
      </c>
      <c r="H163" s="50"/>
      <c r="I163" s="15">
        <f t="shared" si="2"/>
        <v>157198</v>
      </c>
      <c r="L163" s="25" t="s">
        <v>470</v>
      </c>
      <c r="M163" s="25" t="s">
        <v>155</v>
      </c>
      <c r="N163" s="26">
        <v>0</v>
      </c>
      <c r="O163" s="26">
        <v>0</v>
      </c>
      <c r="P163" s="26">
        <v>0</v>
      </c>
      <c r="Q163" s="26">
        <v>0</v>
      </c>
    </row>
    <row r="164" spans="1:17">
      <c r="A164" s="25" t="s">
        <v>480</v>
      </c>
      <c r="B164" s="25" t="s">
        <v>481</v>
      </c>
      <c r="C164" s="25" t="s">
        <v>156</v>
      </c>
      <c r="D164" s="25" t="s">
        <v>162</v>
      </c>
      <c r="E164" s="25" t="s">
        <v>100</v>
      </c>
      <c r="F164" s="26">
        <v>-451135.7</v>
      </c>
      <c r="H164" s="50"/>
      <c r="I164" s="15">
        <f t="shared" si="2"/>
        <v>-451136</v>
      </c>
      <c r="L164" s="25" t="s">
        <v>471</v>
      </c>
      <c r="M164" s="25" t="s">
        <v>472</v>
      </c>
      <c r="N164" s="26">
        <v>-3002761.94</v>
      </c>
      <c r="O164" s="26">
        <v>-779702.2</v>
      </c>
      <c r="P164" s="26">
        <v>-1955117.74</v>
      </c>
      <c r="Q164" s="26">
        <v>-267942</v>
      </c>
    </row>
    <row r="165" spans="1:17">
      <c r="A165" s="25" t="s">
        <v>482</v>
      </c>
      <c r="B165" s="25" t="s">
        <v>278</v>
      </c>
      <c r="C165" s="25" t="s">
        <v>156</v>
      </c>
      <c r="D165" s="25" t="s">
        <v>169</v>
      </c>
      <c r="E165" s="25" t="s">
        <v>483</v>
      </c>
      <c r="F165" s="26">
        <v>-5258889.07</v>
      </c>
      <c r="H165" s="50"/>
      <c r="I165" s="15">
        <f t="shared" si="2"/>
        <v>-5258889</v>
      </c>
      <c r="L165" s="25" t="s">
        <v>473</v>
      </c>
      <c r="M165" s="25" t="s">
        <v>474</v>
      </c>
      <c r="N165" s="26">
        <v>-1962189.5</v>
      </c>
      <c r="O165" s="26">
        <v>-204202</v>
      </c>
      <c r="P165" s="26">
        <v>-1522720.5</v>
      </c>
      <c r="Q165" s="26">
        <v>-235267</v>
      </c>
    </row>
    <row r="166" spans="1:17">
      <c r="A166" s="25" t="s">
        <v>484</v>
      </c>
      <c r="B166" s="25" t="s">
        <v>485</v>
      </c>
      <c r="C166" s="25" t="s">
        <v>156</v>
      </c>
      <c r="D166" s="25" t="s">
        <v>157</v>
      </c>
      <c r="E166" s="25" t="s">
        <v>100</v>
      </c>
      <c r="F166" s="26">
        <v>0</v>
      </c>
      <c r="H166" s="50"/>
      <c r="I166" s="15">
        <f t="shared" si="2"/>
        <v>0</v>
      </c>
      <c r="L166" s="25" t="s">
        <v>478</v>
      </c>
      <c r="M166" s="25" t="s">
        <v>479</v>
      </c>
      <c r="N166" s="26">
        <v>157198.07</v>
      </c>
      <c r="O166" s="26">
        <v>531.59</v>
      </c>
      <c r="P166" s="26">
        <v>156666.48000000001</v>
      </c>
      <c r="Q166" s="26">
        <v>0</v>
      </c>
    </row>
    <row r="167" spans="1:17">
      <c r="A167" s="25" t="s">
        <v>486</v>
      </c>
      <c r="B167" s="25" t="s">
        <v>487</v>
      </c>
      <c r="C167" s="25" t="s">
        <v>156</v>
      </c>
      <c r="D167" s="25" t="s">
        <v>162</v>
      </c>
      <c r="E167" s="25" t="s">
        <v>100</v>
      </c>
      <c r="F167" s="26">
        <v>287363.61</v>
      </c>
      <c r="H167" s="50"/>
      <c r="I167" s="15">
        <f t="shared" si="2"/>
        <v>287364</v>
      </c>
      <c r="L167" s="25" t="s">
        <v>480</v>
      </c>
      <c r="M167" s="25" t="s">
        <v>481</v>
      </c>
      <c r="N167" s="26">
        <v>-451135.7</v>
      </c>
      <c r="O167" s="26">
        <v>-27049.31</v>
      </c>
      <c r="P167" s="26">
        <v>-381061.39</v>
      </c>
      <c r="Q167" s="26">
        <v>-43025</v>
      </c>
    </row>
    <row r="168" spans="1:17">
      <c r="A168" s="25" t="s">
        <v>488</v>
      </c>
      <c r="B168" s="25" t="s">
        <v>489</v>
      </c>
      <c r="C168" s="25" t="s">
        <v>156</v>
      </c>
      <c r="D168" s="25" t="s">
        <v>162</v>
      </c>
      <c r="E168" s="25" t="s">
        <v>100</v>
      </c>
      <c r="F168" s="26">
        <v>303969.14</v>
      </c>
      <c r="H168" s="50"/>
      <c r="I168" s="15">
        <f t="shared" si="2"/>
        <v>303969</v>
      </c>
      <c r="L168" s="25" t="s">
        <v>482</v>
      </c>
      <c r="M168" s="25" t="s">
        <v>278</v>
      </c>
      <c r="N168" s="26">
        <v>-5258889.07</v>
      </c>
      <c r="O168" s="26">
        <v>-1010421.92</v>
      </c>
      <c r="P168" s="26">
        <v>-3702233.15</v>
      </c>
      <c r="Q168" s="26">
        <v>-546234</v>
      </c>
    </row>
    <row r="169" spans="1:17">
      <c r="A169" s="25" t="s">
        <v>490</v>
      </c>
      <c r="B169" s="25" t="s">
        <v>2218</v>
      </c>
      <c r="C169" s="25" t="s">
        <v>156</v>
      </c>
      <c r="D169" s="25" t="s">
        <v>162</v>
      </c>
      <c r="E169" s="25" t="s">
        <v>100</v>
      </c>
      <c r="F169" s="26">
        <v>24941</v>
      </c>
      <c r="G169" s="3">
        <v>-806.66</v>
      </c>
      <c r="H169" s="50"/>
      <c r="I169" s="15">
        <f>ROUND(F169,0)+G169</f>
        <v>24134.34</v>
      </c>
      <c r="L169" s="25" t="s">
        <v>484</v>
      </c>
      <c r="M169" s="25" t="s">
        <v>485</v>
      </c>
      <c r="N169" s="26">
        <v>0</v>
      </c>
      <c r="O169" s="26">
        <v>0</v>
      </c>
      <c r="P169" s="26">
        <v>0</v>
      </c>
      <c r="Q169" s="26">
        <v>0</v>
      </c>
    </row>
    <row r="170" spans="1:17">
      <c r="A170" s="25" t="s">
        <v>492</v>
      </c>
      <c r="B170" s="25" t="s">
        <v>493</v>
      </c>
      <c r="C170" s="25" t="s">
        <v>156</v>
      </c>
      <c r="D170" s="25" t="s">
        <v>162</v>
      </c>
      <c r="E170" s="25" t="s">
        <v>100</v>
      </c>
      <c r="F170" s="26">
        <v>26171.19</v>
      </c>
      <c r="G170" s="3">
        <v>-305.8</v>
      </c>
      <c r="H170" s="50"/>
      <c r="I170" s="15">
        <f>ROUND(F170,0)+G170</f>
        <v>25865.200000000001</v>
      </c>
      <c r="L170" s="25" t="s">
        <v>486</v>
      </c>
      <c r="M170" s="25" t="s">
        <v>487</v>
      </c>
      <c r="N170" s="26">
        <v>287363.61</v>
      </c>
      <c r="O170" s="27">
        <v>122988.16</v>
      </c>
      <c r="P170" s="27">
        <v>164375.45000000001</v>
      </c>
      <c r="Q170" s="26">
        <v>0</v>
      </c>
    </row>
    <row r="171" spans="1:17">
      <c r="A171" s="25" t="s">
        <v>494</v>
      </c>
      <c r="B171" s="25" t="s">
        <v>495</v>
      </c>
      <c r="C171" s="25" t="s">
        <v>156</v>
      </c>
      <c r="D171" s="25" t="s">
        <v>162</v>
      </c>
      <c r="E171" s="25" t="s">
        <v>100</v>
      </c>
      <c r="F171" s="26">
        <v>133774.49</v>
      </c>
      <c r="H171" s="50"/>
      <c r="I171" s="15">
        <f t="shared" si="2"/>
        <v>133774</v>
      </c>
      <c r="L171" s="25" t="s">
        <v>488</v>
      </c>
      <c r="M171" s="25" t="s">
        <v>489</v>
      </c>
      <c r="N171" s="26">
        <v>303969.14</v>
      </c>
      <c r="O171" s="27">
        <v>229051.95</v>
      </c>
      <c r="P171" s="27">
        <v>30976.19</v>
      </c>
      <c r="Q171" s="27">
        <v>43941</v>
      </c>
    </row>
    <row r="172" spans="1:17">
      <c r="A172" s="25" t="s">
        <v>496</v>
      </c>
      <c r="B172" s="25" t="s">
        <v>497</v>
      </c>
      <c r="C172" s="25" t="s">
        <v>156</v>
      </c>
      <c r="D172" s="25" t="s">
        <v>162</v>
      </c>
      <c r="E172" s="25" t="s">
        <v>100</v>
      </c>
      <c r="F172" s="26">
        <v>1350056</v>
      </c>
      <c r="G172" s="3">
        <f>-70812.54</f>
        <v>-70812.539999999994</v>
      </c>
      <c r="H172" s="50">
        <v>26377.55</v>
      </c>
      <c r="I172" s="15">
        <f>ROUND(F172,0)+G172+H172</f>
        <v>1305621.01</v>
      </c>
      <c r="L172" s="25" t="s">
        <v>490</v>
      </c>
      <c r="M172" s="25" t="s">
        <v>2218</v>
      </c>
      <c r="N172" s="26">
        <v>24134.34</v>
      </c>
      <c r="O172" s="27">
        <v>-806.66</v>
      </c>
      <c r="P172" s="27">
        <v>24941</v>
      </c>
      <c r="Q172" s="26">
        <v>0</v>
      </c>
    </row>
    <row r="173" spans="1:17">
      <c r="A173" s="25" t="s">
        <v>498</v>
      </c>
      <c r="B173" s="25" t="s">
        <v>499</v>
      </c>
      <c r="C173" s="25" t="s">
        <v>156</v>
      </c>
      <c r="D173" s="25" t="s">
        <v>162</v>
      </c>
      <c r="E173" s="25" t="s">
        <v>100</v>
      </c>
      <c r="F173" s="26">
        <v>-12163.33</v>
      </c>
      <c r="H173" s="50"/>
      <c r="I173" s="15">
        <f t="shared" si="2"/>
        <v>-12163</v>
      </c>
      <c r="L173" s="25" t="s">
        <v>492</v>
      </c>
      <c r="M173" s="25" t="s">
        <v>493</v>
      </c>
      <c r="N173" s="26">
        <v>25865.39</v>
      </c>
      <c r="O173" s="27">
        <v>16827.189999999999</v>
      </c>
      <c r="P173" s="27">
        <v>9038.2000000000007</v>
      </c>
      <c r="Q173" s="26">
        <v>0</v>
      </c>
    </row>
    <row r="174" spans="1:17">
      <c r="A174" s="25" t="s">
        <v>500</v>
      </c>
      <c r="B174" s="25" t="s">
        <v>501</v>
      </c>
      <c r="C174" s="25" t="s">
        <v>156</v>
      </c>
      <c r="D174" s="25" t="s">
        <v>162</v>
      </c>
      <c r="E174" s="25" t="s">
        <v>100</v>
      </c>
      <c r="F174" s="26">
        <v>50337.11</v>
      </c>
      <c r="H174" s="50"/>
      <c r="I174" s="15">
        <f t="shared" si="2"/>
        <v>50337</v>
      </c>
      <c r="L174" s="25" t="s">
        <v>494</v>
      </c>
      <c r="M174" s="25" t="s">
        <v>495</v>
      </c>
      <c r="N174" s="26">
        <v>133774.49</v>
      </c>
      <c r="O174" s="27">
        <v>26971.57</v>
      </c>
      <c r="P174" s="27">
        <v>98311.96</v>
      </c>
      <c r="Q174" s="27">
        <v>8490.9599999999991</v>
      </c>
    </row>
    <row r="175" spans="1:17">
      <c r="A175" s="25" t="s">
        <v>502</v>
      </c>
      <c r="B175" s="25" t="s">
        <v>503</v>
      </c>
      <c r="C175" s="25" t="s">
        <v>156</v>
      </c>
      <c r="D175" s="25" t="s">
        <v>169</v>
      </c>
      <c r="E175" s="25" t="s">
        <v>504</v>
      </c>
      <c r="F175" s="26">
        <v>2164449.21</v>
      </c>
      <c r="H175" s="50"/>
      <c r="I175" s="15">
        <f>ROUND(F175,0)</f>
        <v>2164449</v>
      </c>
      <c r="L175" s="25" t="s">
        <v>496</v>
      </c>
      <c r="M175" s="25" t="s">
        <v>497</v>
      </c>
      <c r="N175" s="26">
        <v>1279243.46</v>
      </c>
      <c r="O175" s="27">
        <v>472577.67</v>
      </c>
      <c r="P175" s="27">
        <f>747103.99+26377.55</f>
        <v>773481.54</v>
      </c>
      <c r="Q175" s="27">
        <v>59561.8</v>
      </c>
    </row>
    <row r="176" spans="1:17">
      <c r="A176" s="25" t="s">
        <v>505</v>
      </c>
      <c r="B176" s="25" t="s">
        <v>284</v>
      </c>
      <c r="C176" s="25" t="s">
        <v>156</v>
      </c>
      <c r="D176" s="25" t="s">
        <v>157</v>
      </c>
      <c r="E176" s="25" t="s">
        <v>100</v>
      </c>
      <c r="F176" s="26">
        <v>0</v>
      </c>
      <c r="H176" s="50"/>
      <c r="I176" s="15">
        <f t="shared" si="2"/>
        <v>0</v>
      </c>
      <c r="L176" s="25" t="s">
        <v>498</v>
      </c>
      <c r="M176" s="25" t="s">
        <v>499</v>
      </c>
      <c r="N176" s="26">
        <v>-12163.33</v>
      </c>
      <c r="O176" s="26">
        <v>0</v>
      </c>
      <c r="P176" s="26">
        <v>-11278.8</v>
      </c>
      <c r="Q176" s="27">
        <v>-884.53</v>
      </c>
    </row>
    <row r="177" spans="1:17">
      <c r="A177" s="25" t="s">
        <v>506</v>
      </c>
      <c r="B177" s="25" t="s">
        <v>507</v>
      </c>
      <c r="C177" s="25" t="s">
        <v>156</v>
      </c>
      <c r="D177" s="25" t="s">
        <v>162</v>
      </c>
      <c r="E177" s="25" t="s">
        <v>100</v>
      </c>
      <c r="F177" s="26">
        <v>2167974.48</v>
      </c>
      <c r="H177" s="50"/>
      <c r="I177" s="15">
        <f t="shared" si="2"/>
        <v>2167974</v>
      </c>
      <c r="L177" s="25" t="s">
        <v>500</v>
      </c>
      <c r="M177" s="25" t="s">
        <v>501</v>
      </c>
      <c r="N177" s="26">
        <v>50337.11</v>
      </c>
      <c r="O177" s="26">
        <v>0</v>
      </c>
      <c r="P177" s="26">
        <v>50337.11</v>
      </c>
      <c r="Q177" s="26">
        <v>0</v>
      </c>
    </row>
    <row r="178" spans="1:17">
      <c r="A178" s="25" t="s">
        <v>508</v>
      </c>
      <c r="B178" s="25" t="s">
        <v>317</v>
      </c>
      <c r="C178" s="25" t="s">
        <v>156</v>
      </c>
      <c r="D178" s="25" t="s">
        <v>162</v>
      </c>
      <c r="E178" s="25" t="s">
        <v>100</v>
      </c>
      <c r="F178" s="26">
        <v>98466.97</v>
      </c>
      <c r="H178" s="50"/>
      <c r="I178" s="15">
        <f t="shared" si="2"/>
        <v>98467</v>
      </c>
      <c r="L178" s="25" t="s">
        <v>502</v>
      </c>
      <c r="M178" s="25" t="s">
        <v>503</v>
      </c>
      <c r="N178" s="26">
        <v>2092524.21</v>
      </c>
      <c r="O178" s="26">
        <v>867609.88</v>
      </c>
      <c r="P178" s="26">
        <v>1113805.1000000001</v>
      </c>
      <c r="Q178" s="26">
        <v>111109.23</v>
      </c>
    </row>
    <row r="179" spans="1:17">
      <c r="A179" s="25" t="s">
        <v>509</v>
      </c>
      <c r="B179" s="25" t="s">
        <v>294</v>
      </c>
      <c r="C179" s="25" t="s">
        <v>156</v>
      </c>
      <c r="D179" s="25" t="s">
        <v>162</v>
      </c>
      <c r="E179" s="25" t="s">
        <v>100</v>
      </c>
      <c r="F179" s="26">
        <v>-320879.13</v>
      </c>
      <c r="H179" s="50"/>
      <c r="I179" s="15">
        <f t="shared" si="2"/>
        <v>-320879</v>
      </c>
      <c r="L179" s="25" t="s">
        <v>505</v>
      </c>
      <c r="M179" s="25" t="s">
        <v>284</v>
      </c>
      <c r="N179" s="26">
        <v>0</v>
      </c>
      <c r="O179" s="26">
        <v>0</v>
      </c>
      <c r="P179" s="26">
        <v>0</v>
      </c>
      <c r="Q179" s="26">
        <v>0</v>
      </c>
    </row>
    <row r="180" spans="1:17">
      <c r="A180" s="25" t="s">
        <v>510</v>
      </c>
      <c r="B180" s="25" t="s">
        <v>511</v>
      </c>
      <c r="C180" s="25" t="s">
        <v>156</v>
      </c>
      <c r="D180" s="25" t="s">
        <v>162</v>
      </c>
      <c r="E180" s="25" t="s">
        <v>100</v>
      </c>
      <c r="F180" s="26">
        <v>100836.03</v>
      </c>
      <c r="H180" s="50"/>
      <c r="I180" s="15">
        <f t="shared" si="2"/>
        <v>100836</v>
      </c>
      <c r="L180" s="25" t="s">
        <v>506</v>
      </c>
      <c r="M180" s="25" t="s">
        <v>507</v>
      </c>
      <c r="N180" s="26">
        <v>2167974.48</v>
      </c>
      <c r="O180" s="27">
        <v>394487.59</v>
      </c>
      <c r="P180" s="27">
        <v>1658694.37</v>
      </c>
      <c r="Q180" s="27">
        <v>114792.52</v>
      </c>
    </row>
    <row r="181" spans="1:17">
      <c r="A181" s="25" t="s">
        <v>512</v>
      </c>
      <c r="B181" s="25" t="s">
        <v>513</v>
      </c>
      <c r="C181" s="25" t="s">
        <v>156</v>
      </c>
      <c r="D181" s="25" t="s">
        <v>162</v>
      </c>
      <c r="E181" s="25" t="s">
        <v>100</v>
      </c>
      <c r="F181" s="26">
        <v>223324.19</v>
      </c>
      <c r="H181" s="50"/>
      <c r="I181" s="15">
        <f t="shared" si="2"/>
        <v>223324</v>
      </c>
      <c r="L181" s="25" t="s">
        <v>508</v>
      </c>
      <c r="M181" s="25" t="s">
        <v>317</v>
      </c>
      <c r="N181" s="26">
        <v>98466.97</v>
      </c>
      <c r="O181" s="27">
        <v>22786.59</v>
      </c>
      <c r="P181" s="27">
        <v>75680.38</v>
      </c>
      <c r="Q181" s="27">
        <v>0</v>
      </c>
    </row>
    <row r="182" spans="1:17">
      <c r="A182" s="25" t="s">
        <v>514</v>
      </c>
      <c r="B182" s="25" t="s">
        <v>515</v>
      </c>
      <c r="C182" s="25" t="s">
        <v>156</v>
      </c>
      <c r="D182" s="25" t="s">
        <v>162</v>
      </c>
      <c r="E182" s="25" t="s">
        <v>100</v>
      </c>
      <c r="F182" s="26">
        <v>-40991.339999999997</v>
      </c>
      <c r="H182" s="50"/>
      <c r="I182" s="15">
        <f t="shared" si="2"/>
        <v>-40991</v>
      </c>
      <c r="L182" s="25" t="s">
        <v>509</v>
      </c>
      <c r="M182" s="25" t="s">
        <v>294</v>
      </c>
      <c r="N182" s="26">
        <v>-320879.13</v>
      </c>
      <c r="O182" s="27">
        <v>-652</v>
      </c>
      <c r="P182" s="27">
        <v>-320227.13</v>
      </c>
      <c r="Q182" s="27">
        <v>0</v>
      </c>
    </row>
    <row r="183" spans="1:17">
      <c r="A183" s="25" t="s">
        <v>2198</v>
      </c>
      <c r="B183" s="25" t="s">
        <v>300</v>
      </c>
      <c r="C183" s="25" t="s">
        <v>156</v>
      </c>
      <c r="D183" s="25" t="s">
        <v>162</v>
      </c>
      <c r="E183" s="25" t="s">
        <v>100</v>
      </c>
      <c r="F183" s="26">
        <v>98502.91</v>
      </c>
      <c r="H183" s="50"/>
      <c r="I183" s="15">
        <f t="shared" si="2"/>
        <v>98503</v>
      </c>
      <c r="L183" s="25" t="s">
        <v>510</v>
      </c>
      <c r="M183" s="25" t="s">
        <v>511</v>
      </c>
      <c r="N183" s="26">
        <v>100836.03</v>
      </c>
      <c r="O183" s="27">
        <v>11921.57</v>
      </c>
      <c r="P183" s="27">
        <v>85766.98</v>
      </c>
      <c r="Q183" s="27">
        <v>3147.48</v>
      </c>
    </row>
    <row r="184" spans="1:17">
      <c r="A184" s="25" t="s">
        <v>516</v>
      </c>
      <c r="B184" s="25" t="s">
        <v>306</v>
      </c>
      <c r="C184" s="25" t="s">
        <v>156</v>
      </c>
      <c r="D184" s="25" t="s">
        <v>162</v>
      </c>
      <c r="E184" s="25" t="s">
        <v>100</v>
      </c>
      <c r="F184" s="26">
        <v>58469.64</v>
      </c>
      <c r="H184" s="50"/>
      <c r="I184" s="15">
        <f t="shared" si="2"/>
        <v>58470</v>
      </c>
      <c r="L184" s="25" t="s">
        <v>512</v>
      </c>
      <c r="M184" s="25" t="s">
        <v>513</v>
      </c>
      <c r="N184" s="26">
        <v>223324.19</v>
      </c>
      <c r="O184" s="27">
        <v>33445.83</v>
      </c>
      <c r="P184" s="27">
        <v>183938.18</v>
      </c>
      <c r="Q184" s="27">
        <v>5940.18</v>
      </c>
    </row>
    <row r="185" spans="1:17">
      <c r="A185" s="25" t="s">
        <v>518</v>
      </c>
      <c r="B185" s="25" t="s">
        <v>519</v>
      </c>
      <c r="C185" s="25" t="s">
        <v>156</v>
      </c>
      <c r="D185" s="25" t="s">
        <v>162</v>
      </c>
      <c r="E185" s="25" t="s">
        <v>100</v>
      </c>
      <c r="F185" s="26">
        <v>172126.37</v>
      </c>
      <c r="H185" s="50"/>
      <c r="I185" s="15">
        <f t="shared" si="2"/>
        <v>172126</v>
      </c>
      <c r="L185" s="25" t="s">
        <v>514</v>
      </c>
      <c r="M185" s="25" t="s">
        <v>515</v>
      </c>
      <c r="N185" s="26">
        <v>-40991.339999999997</v>
      </c>
      <c r="O185" s="27">
        <v>-10480.209999999999</v>
      </c>
      <c r="P185" s="27">
        <v>-30511.13</v>
      </c>
      <c r="Q185" s="27">
        <v>0</v>
      </c>
    </row>
    <row r="186" spans="1:17">
      <c r="A186" s="25" t="s">
        <v>520</v>
      </c>
      <c r="B186" s="25" t="s">
        <v>521</v>
      </c>
      <c r="C186" s="25" t="s">
        <v>156</v>
      </c>
      <c r="D186" s="25" t="s">
        <v>162</v>
      </c>
      <c r="E186" s="25" t="s">
        <v>100</v>
      </c>
      <c r="F186" s="26">
        <v>3063.88</v>
      </c>
      <c r="H186" s="50"/>
      <c r="I186" s="15">
        <f t="shared" si="2"/>
        <v>3064</v>
      </c>
      <c r="L186" s="25" t="s">
        <v>2198</v>
      </c>
      <c r="M186" s="25" t="s">
        <v>300</v>
      </c>
      <c r="N186" s="26">
        <v>98502.91</v>
      </c>
      <c r="O186" s="27">
        <v>0</v>
      </c>
      <c r="P186" s="27">
        <v>86866.64</v>
      </c>
      <c r="Q186" s="27">
        <v>11636.27</v>
      </c>
    </row>
    <row r="187" spans="1:17">
      <c r="A187" s="25" t="s">
        <v>522</v>
      </c>
      <c r="B187" s="25" t="s">
        <v>216</v>
      </c>
      <c r="C187" s="25" t="s">
        <v>156</v>
      </c>
      <c r="D187" s="25" t="s">
        <v>162</v>
      </c>
      <c r="E187" s="25" t="s">
        <v>100</v>
      </c>
      <c r="F187" s="26">
        <v>12150</v>
      </c>
      <c r="H187" s="50"/>
      <c r="I187" s="15">
        <f t="shared" si="2"/>
        <v>12150</v>
      </c>
      <c r="L187" s="25" t="s">
        <v>516</v>
      </c>
      <c r="M187" s="25" t="s">
        <v>306</v>
      </c>
      <c r="N187" s="26">
        <v>58469.64</v>
      </c>
      <c r="O187" s="27">
        <v>23697.5</v>
      </c>
      <c r="P187" s="27">
        <v>33803.24</v>
      </c>
      <c r="Q187" s="27">
        <v>968.9</v>
      </c>
    </row>
    <row r="188" spans="1:17">
      <c r="A188" s="25" t="s">
        <v>523</v>
      </c>
      <c r="B188" s="25" t="s">
        <v>526</v>
      </c>
      <c r="C188" s="25" t="s">
        <v>156</v>
      </c>
      <c r="D188" s="25" t="s">
        <v>162</v>
      </c>
      <c r="E188" s="25" t="s">
        <v>100</v>
      </c>
      <c r="F188" s="26">
        <v>0.5</v>
      </c>
      <c r="H188" s="50"/>
      <c r="I188" s="15">
        <f t="shared" si="2"/>
        <v>1</v>
      </c>
      <c r="L188" s="25" t="s">
        <v>518</v>
      </c>
      <c r="M188" s="25" t="s">
        <v>519</v>
      </c>
      <c r="N188" s="26">
        <v>172126.37</v>
      </c>
      <c r="O188" s="27">
        <v>10908.4</v>
      </c>
      <c r="P188" s="27">
        <v>157899.97</v>
      </c>
      <c r="Q188" s="27">
        <v>3318</v>
      </c>
    </row>
    <row r="189" spans="1:17">
      <c r="A189" s="25" t="s">
        <v>527</v>
      </c>
      <c r="B189" s="25" t="s">
        <v>341</v>
      </c>
      <c r="C189" s="25" t="s">
        <v>156</v>
      </c>
      <c r="D189" s="25" t="s">
        <v>169</v>
      </c>
      <c r="E189" s="25" t="s">
        <v>528</v>
      </c>
      <c r="F189" s="26">
        <v>2573044.5</v>
      </c>
      <c r="H189" s="50"/>
      <c r="I189" s="15">
        <f t="shared" si="2"/>
        <v>2573045</v>
      </c>
      <c r="L189" s="25" t="s">
        <v>520</v>
      </c>
      <c r="M189" s="25" t="s">
        <v>521</v>
      </c>
      <c r="N189" s="26">
        <v>3063.88</v>
      </c>
      <c r="O189" s="27">
        <v>1128</v>
      </c>
      <c r="P189" s="27">
        <v>1366.78</v>
      </c>
      <c r="Q189" s="27">
        <v>569.1</v>
      </c>
    </row>
    <row r="190" spans="1:17">
      <c r="A190" s="25" t="s">
        <v>529</v>
      </c>
      <c r="B190" s="25" t="s">
        <v>530</v>
      </c>
      <c r="C190" s="25" t="s">
        <v>156</v>
      </c>
      <c r="D190" s="25" t="s">
        <v>157</v>
      </c>
      <c r="E190" s="25" t="s">
        <v>100</v>
      </c>
      <c r="F190" s="26">
        <v>0</v>
      </c>
      <c r="H190" s="50"/>
      <c r="I190" s="15">
        <f t="shared" si="2"/>
        <v>0</v>
      </c>
      <c r="L190" s="25" t="s">
        <v>522</v>
      </c>
      <c r="M190" s="25" t="s">
        <v>216</v>
      </c>
      <c r="N190" s="26">
        <v>12150</v>
      </c>
      <c r="O190" s="27">
        <v>0</v>
      </c>
      <c r="P190" s="27">
        <v>12150</v>
      </c>
      <c r="Q190" s="27">
        <v>0</v>
      </c>
    </row>
    <row r="191" spans="1:17">
      <c r="A191" s="25" t="s">
        <v>531</v>
      </c>
      <c r="B191" s="25" t="s">
        <v>532</v>
      </c>
      <c r="C191" s="25" t="s">
        <v>156</v>
      </c>
      <c r="D191" s="25" t="s">
        <v>162</v>
      </c>
      <c r="E191" s="25" t="s">
        <v>100</v>
      </c>
      <c r="F191" s="26">
        <v>80851.58</v>
      </c>
      <c r="H191" s="50"/>
      <c r="I191" s="15">
        <f t="shared" si="2"/>
        <v>80852</v>
      </c>
      <c r="L191" s="25" t="s">
        <v>523</v>
      </c>
      <c r="M191" s="25" t="s">
        <v>526</v>
      </c>
      <c r="N191" s="26">
        <v>0</v>
      </c>
      <c r="O191" s="27">
        <v>0</v>
      </c>
      <c r="P191" s="27">
        <v>0</v>
      </c>
      <c r="Q191" s="27">
        <v>0</v>
      </c>
    </row>
    <row r="192" spans="1:17">
      <c r="A192" s="25" t="s">
        <v>533</v>
      </c>
      <c r="B192" s="25" t="s">
        <v>2164</v>
      </c>
      <c r="C192" s="25" t="s">
        <v>156</v>
      </c>
      <c r="D192" s="25" t="s">
        <v>162</v>
      </c>
      <c r="E192" s="25" t="s">
        <v>100</v>
      </c>
      <c r="F192" s="26">
        <v>38302.28</v>
      </c>
      <c r="H192" s="50"/>
      <c r="I192" s="15">
        <f t="shared" si="2"/>
        <v>38302</v>
      </c>
      <c r="L192" s="25" t="s">
        <v>527</v>
      </c>
      <c r="M192" s="25" t="s">
        <v>341</v>
      </c>
      <c r="N192" s="26">
        <v>2573044</v>
      </c>
      <c r="O192" s="27">
        <v>487243.27</v>
      </c>
      <c r="P192" s="27">
        <v>1945428.28</v>
      </c>
      <c r="Q192" s="27">
        <v>140372.45000000001</v>
      </c>
    </row>
    <row r="193" spans="1:17">
      <c r="A193" s="25" t="s">
        <v>535</v>
      </c>
      <c r="B193" s="25" t="s">
        <v>536</v>
      </c>
      <c r="C193" s="25" t="s">
        <v>156</v>
      </c>
      <c r="D193" s="25" t="s">
        <v>162</v>
      </c>
      <c r="E193" s="25" t="s">
        <v>100</v>
      </c>
      <c r="F193" s="26">
        <v>12510.1</v>
      </c>
      <c r="H193" s="50"/>
      <c r="I193" s="15">
        <f t="shared" si="2"/>
        <v>12510</v>
      </c>
      <c r="L193" s="25" t="s">
        <v>529</v>
      </c>
      <c r="M193" s="25" t="s">
        <v>530</v>
      </c>
      <c r="N193" s="26">
        <v>0</v>
      </c>
      <c r="O193" s="26">
        <v>0</v>
      </c>
      <c r="P193" s="26">
        <v>0</v>
      </c>
      <c r="Q193" s="26">
        <v>0</v>
      </c>
    </row>
    <row r="194" spans="1:17">
      <c r="A194" s="25" t="s">
        <v>537</v>
      </c>
      <c r="B194" s="25" t="s">
        <v>538</v>
      </c>
      <c r="C194" s="25" t="s">
        <v>156</v>
      </c>
      <c r="D194" s="25" t="s">
        <v>162</v>
      </c>
      <c r="E194" s="25" t="s">
        <v>100</v>
      </c>
      <c r="F194" s="26">
        <v>103849.48</v>
      </c>
      <c r="H194" s="50"/>
      <c r="I194" s="15">
        <f t="shared" si="2"/>
        <v>103849</v>
      </c>
      <c r="L194" s="25" t="s">
        <v>531</v>
      </c>
      <c r="M194" s="25" t="s">
        <v>532</v>
      </c>
      <c r="N194" s="26">
        <v>80851.58</v>
      </c>
      <c r="O194" s="27">
        <v>20027.25</v>
      </c>
      <c r="P194" s="27">
        <v>41241.83</v>
      </c>
      <c r="Q194" s="27">
        <v>19582.5</v>
      </c>
    </row>
    <row r="195" spans="1:17">
      <c r="A195" s="25" t="s">
        <v>539</v>
      </c>
      <c r="B195" s="25" t="s">
        <v>540</v>
      </c>
      <c r="C195" s="25" t="s">
        <v>156</v>
      </c>
      <c r="D195" s="25" t="s">
        <v>162</v>
      </c>
      <c r="E195" s="25" t="s">
        <v>100</v>
      </c>
      <c r="F195" s="26">
        <v>301942.8</v>
      </c>
      <c r="H195" s="50"/>
      <c r="I195" s="15">
        <f t="shared" si="2"/>
        <v>301943</v>
      </c>
      <c r="L195" s="25" t="s">
        <v>533</v>
      </c>
      <c r="M195" s="25" t="s">
        <v>2164</v>
      </c>
      <c r="N195" s="26">
        <v>38302.28</v>
      </c>
      <c r="O195" s="27">
        <v>293.16000000000003</v>
      </c>
      <c r="P195" s="27">
        <v>35357.870000000003</v>
      </c>
      <c r="Q195" s="27">
        <v>2651.25</v>
      </c>
    </row>
    <row r="196" spans="1:17">
      <c r="A196" s="25" t="s">
        <v>541</v>
      </c>
      <c r="B196" s="25" t="s">
        <v>542</v>
      </c>
      <c r="C196" s="25" t="s">
        <v>156</v>
      </c>
      <c r="D196" s="25" t="s">
        <v>162</v>
      </c>
      <c r="E196" s="25" t="s">
        <v>100</v>
      </c>
      <c r="F196" s="26">
        <v>59650.78</v>
      </c>
      <c r="H196" s="50"/>
      <c r="I196" s="15">
        <f t="shared" ref="I196:I259" si="3">ROUND(F196,0)</f>
        <v>59651</v>
      </c>
      <c r="L196" s="25" t="s">
        <v>535</v>
      </c>
      <c r="M196" s="25" t="s">
        <v>536</v>
      </c>
      <c r="N196" s="26">
        <v>12510.1</v>
      </c>
      <c r="O196" s="27">
        <v>0</v>
      </c>
      <c r="P196" s="27">
        <v>12510.1</v>
      </c>
      <c r="Q196" s="27">
        <v>0</v>
      </c>
    </row>
    <row r="197" spans="1:17">
      <c r="A197" s="25" t="s">
        <v>543</v>
      </c>
      <c r="B197" s="25" t="s">
        <v>220</v>
      </c>
      <c r="C197" s="25" t="s">
        <v>156</v>
      </c>
      <c r="D197" s="25" t="s">
        <v>162</v>
      </c>
      <c r="E197" s="25" t="s">
        <v>100</v>
      </c>
      <c r="F197" s="26">
        <v>10914.86</v>
      </c>
      <c r="H197" s="50"/>
      <c r="I197" s="15">
        <f t="shared" si="3"/>
        <v>10915</v>
      </c>
      <c r="L197" s="25" t="s">
        <v>537</v>
      </c>
      <c r="M197" s="25" t="s">
        <v>538</v>
      </c>
      <c r="N197" s="26">
        <v>103849.48</v>
      </c>
      <c r="O197" s="27">
        <v>14969.12</v>
      </c>
      <c r="P197" s="27">
        <v>79241.81</v>
      </c>
      <c r="Q197" s="27">
        <v>9638.5499999999993</v>
      </c>
    </row>
    <row r="198" spans="1:17">
      <c r="A198" s="25" t="s">
        <v>547</v>
      </c>
      <c r="B198" s="25" t="s">
        <v>548</v>
      </c>
      <c r="C198" s="25" t="s">
        <v>156</v>
      </c>
      <c r="D198" s="25" t="s">
        <v>169</v>
      </c>
      <c r="E198" s="25" t="s">
        <v>549</v>
      </c>
      <c r="F198" s="26">
        <v>608021.88</v>
      </c>
      <c r="H198" s="50"/>
      <c r="I198" s="15">
        <f t="shared" si="3"/>
        <v>608022</v>
      </c>
      <c r="L198" s="25" t="s">
        <v>539</v>
      </c>
      <c r="M198" s="25" t="s">
        <v>540</v>
      </c>
      <c r="N198" s="26">
        <v>301942.8</v>
      </c>
      <c r="O198" s="27">
        <v>106628.69</v>
      </c>
      <c r="P198" s="27">
        <v>161039.39000000001</v>
      </c>
      <c r="Q198" s="27">
        <v>34274.720000000001</v>
      </c>
    </row>
    <row r="199" spans="1:17">
      <c r="A199" s="25" t="s">
        <v>550</v>
      </c>
      <c r="B199" s="25" t="s">
        <v>551</v>
      </c>
      <c r="C199" s="25" t="s">
        <v>156</v>
      </c>
      <c r="D199" s="25" t="s">
        <v>157</v>
      </c>
      <c r="E199" s="25" t="s">
        <v>100</v>
      </c>
      <c r="F199" s="26">
        <v>0</v>
      </c>
      <c r="H199" s="50"/>
      <c r="I199" s="15">
        <f t="shared" si="3"/>
        <v>0</v>
      </c>
      <c r="L199" s="25" t="s">
        <v>541</v>
      </c>
      <c r="M199" s="25" t="s">
        <v>542</v>
      </c>
      <c r="N199" s="26">
        <v>59650.78</v>
      </c>
      <c r="O199" s="27">
        <v>48715.53</v>
      </c>
      <c r="P199" s="27">
        <v>8491.25</v>
      </c>
      <c r="Q199" s="27">
        <v>2444</v>
      </c>
    </row>
    <row r="200" spans="1:17">
      <c r="A200" s="25" t="s">
        <v>552</v>
      </c>
      <c r="B200" s="25" t="s">
        <v>553</v>
      </c>
      <c r="C200" s="25" t="s">
        <v>156</v>
      </c>
      <c r="D200" s="25" t="s">
        <v>162</v>
      </c>
      <c r="E200" s="25" t="s">
        <v>100</v>
      </c>
      <c r="F200" s="26">
        <v>368001.25</v>
      </c>
      <c r="H200" s="50"/>
      <c r="I200" s="15">
        <f t="shared" si="3"/>
        <v>368001</v>
      </c>
      <c r="L200" s="25" t="s">
        <v>543</v>
      </c>
      <c r="M200" s="25" t="s">
        <v>220</v>
      </c>
      <c r="N200" s="26">
        <v>10914.86</v>
      </c>
      <c r="O200" s="27">
        <v>2221.19</v>
      </c>
      <c r="P200" s="27">
        <v>8499.67</v>
      </c>
      <c r="Q200" s="27">
        <v>194</v>
      </c>
    </row>
    <row r="201" spans="1:17">
      <c r="A201" s="25" t="s">
        <v>554</v>
      </c>
      <c r="B201" s="25" t="s">
        <v>555</v>
      </c>
      <c r="C201" s="25" t="s">
        <v>156</v>
      </c>
      <c r="D201" s="25" t="s">
        <v>162</v>
      </c>
      <c r="E201" s="25" t="s">
        <v>100</v>
      </c>
      <c r="F201" s="26">
        <v>96530.559999999998</v>
      </c>
      <c r="H201" s="50"/>
      <c r="I201" s="15">
        <f t="shared" si="3"/>
        <v>96531</v>
      </c>
      <c r="L201" s="25" t="s">
        <v>547</v>
      </c>
      <c r="M201" s="25" t="s">
        <v>548</v>
      </c>
      <c r="N201" s="26">
        <v>608021.88</v>
      </c>
      <c r="O201" s="26">
        <v>192854.94</v>
      </c>
      <c r="P201" s="26">
        <v>346381.92</v>
      </c>
      <c r="Q201" s="26">
        <v>68785.02</v>
      </c>
    </row>
    <row r="202" spans="1:17">
      <c r="A202" s="25" t="s">
        <v>556</v>
      </c>
      <c r="B202" s="25" t="s">
        <v>557</v>
      </c>
      <c r="C202" s="25" t="s">
        <v>156</v>
      </c>
      <c r="D202" s="25" t="s">
        <v>162</v>
      </c>
      <c r="E202" s="25" t="s">
        <v>100</v>
      </c>
      <c r="F202" s="26">
        <v>882143.54</v>
      </c>
      <c r="H202" s="50"/>
      <c r="I202" s="15">
        <f t="shared" si="3"/>
        <v>882144</v>
      </c>
      <c r="L202" s="25" t="s">
        <v>550</v>
      </c>
      <c r="M202" s="25" t="s">
        <v>551</v>
      </c>
      <c r="N202" s="26">
        <v>0</v>
      </c>
      <c r="O202" s="26">
        <v>0</v>
      </c>
      <c r="P202" s="26">
        <v>0</v>
      </c>
      <c r="Q202" s="26">
        <v>0</v>
      </c>
    </row>
    <row r="203" spans="1:17">
      <c r="A203" s="25" t="s">
        <v>558</v>
      </c>
      <c r="B203" s="25" t="s">
        <v>559</v>
      </c>
      <c r="C203" s="25" t="s">
        <v>156</v>
      </c>
      <c r="D203" s="25" t="s">
        <v>162</v>
      </c>
      <c r="E203" s="25" t="s">
        <v>100</v>
      </c>
      <c r="F203" s="26">
        <v>149023.47</v>
      </c>
      <c r="H203" s="50"/>
      <c r="I203" s="15">
        <f t="shared" si="3"/>
        <v>149023</v>
      </c>
      <c r="L203" s="25" t="s">
        <v>552</v>
      </c>
      <c r="M203" s="25" t="s">
        <v>553</v>
      </c>
      <c r="N203" s="26">
        <v>368001.25</v>
      </c>
      <c r="O203" s="27">
        <v>368001.25</v>
      </c>
      <c r="P203" s="26">
        <v>0</v>
      </c>
      <c r="Q203" s="26">
        <v>0</v>
      </c>
    </row>
    <row r="204" spans="1:17">
      <c r="A204" s="25" t="s">
        <v>560</v>
      </c>
      <c r="B204" s="25" t="s">
        <v>561</v>
      </c>
      <c r="C204" s="25" t="s">
        <v>156</v>
      </c>
      <c r="D204" s="25" t="s">
        <v>162</v>
      </c>
      <c r="E204" s="25" t="s">
        <v>100</v>
      </c>
      <c r="F204" s="26">
        <v>68235.149999999994</v>
      </c>
      <c r="H204" s="50"/>
      <c r="I204" s="15">
        <f t="shared" si="3"/>
        <v>68235</v>
      </c>
      <c r="L204" s="25" t="s">
        <v>554</v>
      </c>
      <c r="M204" s="25" t="s">
        <v>555</v>
      </c>
      <c r="N204" s="26">
        <v>96530.559999999998</v>
      </c>
      <c r="O204" s="27">
        <v>53159.28</v>
      </c>
      <c r="P204" s="27">
        <v>36712.519999999997</v>
      </c>
      <c r="Q204" s="27">
        <v>6658.76</v>
      </c>
    </row>
    <row r="205" spans="1:17">
      <c r="A205" s="25" t="s">
        <v>562</v>
      </c>
      <c r="B205" s="25" t="s">
        <v>563</v>
      </c>
      <c r="C205" s="25" t="s">
        <v>156</v>
      </c>
      <c r="D205" s="25" t="s">
        <v>162</v>
      </c>
      <c r="E205" s="25" t="s">
        <v>100</v>
      </c>
      <c r="F205" s="26">
        <v>193030.82</v>
      </c>
      <c r="G205" s="3">
        <v>623.66999999999996</v>
      </c>
      <c r="H205" s="50"/>
      <c r="I205" s="15">
        <f>ROUND(F205,0)+G205</f>
        <v>193654.67</v>
      </c>
      <c r="L205" s="25" t="s">
        <v>556</v>
      </c>
      <c r="M205" s="25" t="s">
        <v>557</v>
      </c>
      <c r="N205" s="26">
        <v>882143.54</v>
      </c>
      <c r="O205" s="27">
        <v>362303.71</v>
      </c>
      <c r="P205" s="27">
        <v>326760.43</v>
      </c>
      <c r="Q205" s="27">
        <v>193079.4</v>
      </c>
    </row>
    <row r="206" spans="1:17">
      <c r="A206" s="25" t="s">
        <v>564</v>
      </c>
      <c r="B206" s="25" t="s">
        <v>565</v>
      </c>
      <c r="C206" s="25" t="s">
        <v>156</v>
      </c>
      <c r="D206" s="25" t="s">
        <v>162</v>
      </c>
      <c r="E206" s="25" t="s">
        <v>100</v>
      </c>
      <c r="F206" s="26">
        <v>623.66999999999996</v>
      </c>
      <c r="G206" s="3">
        <v>-623.66999999999996</v>
      </c>
      <c r="H206" s="50"/>
      <c r="I206" s="15">
        <f>ROUND(F206,0)+G206</f>
        <v>0.33000000000004093</v>
      </c>
      <c r="L206" s="25" t="s">
        <v>558</v>
      </c>
      <c r="M206" s="25" t="s">
        <v>559</v>
      </c>
      <c r="N206" s="26">
        <v>149023.47</v>
      </c>
      <c r="O206" s="27">
        <v>46971.79</v>
      </c>
      <c r="P206" s="27">
        <v>93783.03</v>
      </c>
      <c r="Q206" s="27">
        <v>8268.65</v>
      </c>
    </row>
    <row r="207" spans="1:17">
      <c r="A207" s="25" t="s">
        <v>566</v>
      </c>
      <c r="B207" s="25" t="s">
        <v>567</v>
      </c>
      <c r="C207" s="25" t="s">
        <v>156</v>
      </c>
      <c r="D207" s="25" t="s">
        <v>169</v>
      </c>
      <c r="E207" s="25" t="s">
        <v>568</v>
      </c>
      <c r="F207" s="26">
        <v>1757588.46</v>
      </c>
      <c r="H207" s="50"/>
      <c r="I207" s="15">
        <f t="shared" si="3"/>
        <v>1757588</v>
      </c>
      <c r="L207" s="25" t="s">
        <v>560</v>
      </c>
      <c r="M207" s="25" t="s">
        <v>561</v>
      </c>
      <c r="N207" s="26">
        <v>68235.149999999994</v>
      </c>
      <c r="O207" s="27">
        <v>19996.77</v>
      </c>
      <c r="P207" s="27">
        <v>42607.59</v>
      </c>
      <c r="Q207" s="27">
        <v>5630.79</v>
      </c>
    </row>
    <row r="208" spans="1:17">
      <c r="A208" s="25" t="s">
        <v>569</v>
      </c>
      <c r="B208" s="25" t="s">
        <v>570</v>
      </c>
      <c r="C208" s="25" t="s">
        <v>156</v>
      </c>
      <c r="D208" s="25" t="s">
        <v>157</v>
      </c>
      <c r="E208" s="25" t="s">
        <v>100</v>
      </c>
      <c r="F208" s="26">
        <v>0</v>
      </c>
      <c r="H208" s="50"/>
      <c r="I208" s="15">
        <f t="shared" si="3"/>
        <v>0</v>
      </c>
      <c r="L208" s="25" t="s">
        <v>562</v>
      </c>
      <c r="M208" s="25" t="s">
        <v>563</v>
      </c>
      <c r="N208" s="26">
        <v>193654.49</v>
      </c>
      <c r="O208" s="26">
        <v>0</v>
      </c>
      <c r="P208" s="27">
        <v>191156.72</v>
      </c>
      <c r="Q208" s="27">
        <v>2497.77</v>
      </c>
    </row>
    <row r="209" spans="1:17">
      <c r="A209" s="25" t="s">
        <v>571</v>
      </c>
      <c r="B209" s="25" t="s">
        <v>572</v>
      </c>
      <c r="C209" s="25" t="s">
        <v>156</v>
      </c>
      <c r="D209" s="25" t="s">
        <v>162</v>
      </c>
      <c r="E209" s="25" t="s">
        <v>100</v>
      </c>
      <c r="F209" s="26">
        <v>4851.9399999999996</v>
      </c>
      <c r="H209" s="50"/>
      <c r="I209" s="15">
        <f t="shared" si="3"/>
        <v>4852</v>
      </c>
      <c r="L209" s="25" t="s">
        <v>564</v>
      </c>
      <c r="M209" s="25" t="s">
        <v>565</v>
      </c>
      <c r="N209" s="26">
        <v>0</v>
      </c>
      <c r="O209" s="26">
        <v>0</v>
      </c>
      <c r="P209" s="26">
        <v>0</v>
      </c>
      <c r="Q209" s="26">
        <v>0</v>
      </c>
    </row>
    <row r="210" spans="1:17">
      <c r="A210" s="25" t="s">
        <v>573</v>
      </c>
      <c r="B210" s="25" t="s">
        <v>574</v>
      </c>
      <c r="C210" s="25" t="s">
        <v>156</v>
      </c>
      <c r="D210" s="25" t="s">
        <v>162</v>
      </c>
      <c r="E210" s="25" t="s">
        <v>100</v>
      </c>
      <c r="F210" s="26">
        <v>25687.5</v>
      </c>
      <c r="H210" s="50"/>
      <c r="I210" s="15">
        <f t="shared" si="3"/>
        <v>25688</v>
      </c>
      <c r="L210" s="25" t="s">
        <v>566</v>
      </c>
      <c r="M210" s="25" t="s">
        <v>567</v>
      </c>
      <c r="N210" s="26">
        <v>1757588.46</v>
      </c>
      <c r="O210" s="26">
        <v>850432.8</v>
      </c>
      <c r="P210" s="26">
        <v>691020.29</v>
      </c>
      <c r="Q210" s="26">
        <v>216135.37</v>
      </c>
    </row>
    <row r="211" spans="1:17">
      <c r="A211" s="25" t="s">
        <v>575</v>
      </c>
      <c r="B211" s="25" t="s">
        <v>576</v>
      </c>
      <c r="C211" s="25" t="s">
        <v>156</v>
      </c>
      <c r="D211" s="25" t="s">
        <v>169</v>
      </c>
      <c r="E211" s="25" t="s">
        <v>577</v>
      </c>
      <c r="F211" s="26">
        <v>30539.439999999999</v>
      </c>
      <c r="H211" s="50"/>
      <c r="I211" s="15">
        <f t="shared" si="3"/>
        <v>30539</v>
      </c>
      <c r="L211" s="25" t="s">
        <v>569</v>
      </c>
      <c r="M211" s="25" t="s">
        <v>570</v>
      </c>
      <c r="N211" s="26">
        <v>0</v>
      </c>
      <c r="O211" s="26">
        <v>0</v>
      </c>
      <c r="P211" s="26">
        <v>0</v>
      </c>
      <c r="Q211" s="26">
        <v>0</v>
      </c>
    </row>
    <row r="212" spans="1:17">
      <c r="A212" s="25" t="s">
        <v>578</v>
      </c>
      <c r="B212" s="25" t="s">
        <v>579</v>
      </c>
      <c r="C212" s="25" t="s">
        <v>156</v>
      </c>
      <c r="D212" s="25" t="s">
        <v>157</v>
      </c>
      <c r="E212" s="25" t="s">
        <v>100</v>
      </c>
      <c r="F212" s="26">
        <v>0</v>
      </c>
      <c r="H212" s="50"/>
      <c r="I212" s="15">
        <f t="shared" si="3"/>
        <v>0</v>
      </c>
      <c r="L212" s="25" t="s">
        <v>571</v>
      </c>
      <c r="M212" s="25" t="s">
        <v>572</v>
      </c>
      <c r="N212" s="26">
        <v>4851.9399999999996</v>
      </c>
      <c r="O212" s="26">
        <v>0</v>
      </c>
      <c r="P212" s="27">
        <v>4851.9399999999996</v>
      </c>
      <c r="Q212" s="26">
        <v>0</v>
      </c>
    </row>
    <row r="213" spans="1:17">
      <c r="A213" s="25" t="s">
        <v>580</v>
      </c>
      <c r="B213" s="25" t="s">
        <v>581</v>
      </c>
      <c r="C213" s="25" t="s">
        <v>156</v>
      </c>
      <c r="D213" s="25" t="s">
        <v>162</v>
      </c>
      <c r="E213" s="25" t="s">
        <v>100</v>
      </c>
      <c r="F213" s="26">
        <v>49887.199999999997</v>
      </c>
      <c r="H213" s="50"/>
      <c r="I213" s="15">
        <f t="shared" si="3"/>
        <v>49887</v>
      </c>
      <c r="L213" s="25" t="s">
        <v>573</v>
      </c>
      <c r="M213" s="25" t="s">
        <v>574</v>
      </c>
      <c r="N213" s="26">
        <v>25687.5</v>
      </c>
      <c r="O213" s="27">
        <v>12000</v>
      </c>
      <c r="P213" s="27">
        <v>13687.5</v>
      </c>
      <c r="Q213" s="26">
        <v>0</v>
      </c>
    </row>
    <row r="214" spans="1:17">
      <c r="A214" s="25" t="s">
        <v>582</v>
      </c>
      <c r="B214" s="25" t="s">
        <v>583</v>
      </c>
      <c r="C214" s="25" t="s">
        <v>156</v>
      </c>
      <c r="D214" s="25" t="s">
        <v>162</v>
      </c>
      <c r="E214" s="25" t="s">
        <v>100</v>
      </c>
      <c r="F214" s="26">
        <v>193301.72</v>
      </c>
      <c r="H214" s="50"/>
      <c r="I214" s="15">
        <f t="shared" si="3"/>
        <v>193302</v>
      </c>
      <c r="L214" s="25" t="s">
        <v>575</v>
      </c>
      <c r="M214" s="25" t="s">
        <v>576</v>
      </c>
      <c r="N214" s="26">
        <v>30539.439999999999</v>
      </c>
      <c r="O214" s="27">
        <v>12000</v>
      </c>
      <c r="P214" s="26">
        <v>18539.439999999999</v>
      </c>
      <c r="Q214" s="26">
        <v>0</v>
      </c>
    </row>
    <row r="215" spans="1:17">
      <c r="A215" s="25" t="s">
        <v>584</v>
      </c>
      <c r="B215" s="25" t="s">
        <v>2199</v>
      </c>
      <c r="C215" s="25" t="s">
        <v>156</v>
      </c>
      <c r="D215" s="25" t="s">
        <v>162</v>
      </c>
      <c r="E215" s="25" t="s">
        <v>100</v>
      </c>
      <c r="F215" s="26">
        <v>-61229.88</v>
      </c>
      <c r="H215" s="50"/>
      <c r="I215" s="15">
        <f t="shared" si="3"/>
        <v>-61230</v>
      </c>
      <c r="L215" s="25" t="s">
        <v>578</v>
      </c>
      <c r="M215" s="25" t="s">
        <v>579</v>
      </c>
      <c r="N215" s="26">
        <v>0</v>
      </c>
      <c r="O215" s="26">
        <v>0</v>
      </c>
      <c r="P215" s="26">
        <v>0</v>
      </c>
      <c r="Q215" s="26">
        <v>0</v>
      </c>
    </row>
    <row r="216" spans="1:17">
      <c r="A216" s="25" t="s">
        <v>586</v>
      </c>
      <c r="B216" s="25" t="s">
        <v>587</v>
      </c>
      <c r="C216" s="25" t="s">
        <v>156</v>
      </c>
      <c r="D216" s="25" t="s">
        <v>162</v>
      </c>
      <c r="E216" s="25" t="s">
        <v>100</v>
      </c>
      <c r="F216" s="26">
        <v>144859.21</v>
      </c>
      <c r="H216" s="50"/>
      <c r="I216" s="15">
        <f t="shared" si="3"/>
        <v>144859</v>
      </c>
      <c r="L216" s="25" t="s">
        <v>580</v>
      </c>
      <c r="M216" s="25" t="s">
        <v>581</v>
      </c>
      <c r="N216" s="26">
        <v>49887.199999999997</v>
      </c>
      <c r="O216" s="27">
        <v>49887.199999999997</v>
      </c>
      <c r="P216" s="26">
        <v>0</v>
      </c>
      <c r="Q216" s="26">
        <v>0</v>
      </c>
    </row>
    <row r="217" spans="1:17">
      <c r="A217" s="25" t="s">
        <v>588</v>
      </c>
      <c r="B217" s="25" t="s">
        <v>589</v>
      </c>
      <c r="C217" s="25" t="s">
        <v>156</v>
      </c>
      <c r="D217" s="25" t="s">
        <v>162</v>
      </c>
      <c r="E217" s="25" t="s">
        <v>100</v>
      </c>
      <c r="F217" s="26">
        <v>36118.29</v>
      </c>
      <c r="H217" s="50"/>
      <c r="I217" s="15">
        <f t="shared" si="3"/>
        <v>36118</v>
      </c>
      <c r="L217" s="25" t="s">
        <v>582</v>
      </c>
      <c r="M217" s="25" t="s">
        <v>583</v>
      </c>
      <c r="N217" s="26">
        <v>193301.72</v>
      </c>
      <c r="O217" s="27">
        <v>193301.72</v>
      </c>
      <c r="P217" s="26">
        <v>0</v>
      </c>
      <c r="Q217" s="26">
        <v>0</v>
      </c>
    </row>
    <row r="218" spans="1:17">
      <c r="A218" s="25" t="s">
        <v>590</v>
      </c>
      <c r="B218" s="25" t="s">
        <v>591</v>
      </c>
      <c r="C218" s="25" t="s">
        <v>156</v>
      </c>
      <c r="D218" s="25" t="s">
        <v>162</v>
      </c>
      <c r="E218" s="25" t="s">
        <v>100</v>
      </c>
      <c r="F218" s="26">
        <v>19007.88</v>
      </c>
      <c r="H218" s="50"/>
      <c r="I218" s="15">
        <f t="shared" si="3"/>
        <v>19008</v>
      </c>
      <c r="L218" s="25" t="s">
        <v>584</v>
      </c>
      <c r="M218" s="25" t="s">
        <v>2199</v>
      </c>
      <c r="N218" s="26">
        <v>-61229.88</v>
      </c>
      <c r="O218" s="27">
        <v>-61229.88</v>
      </c>
      <c r="P218" s="26">
        <v>0</v>
      </c>
      <c r="Q218" s="26">
        <v>0</v>
      </c>
    </row>
    <row r="219" spans="1:17">
      <c r="A219" s="25" t="s">
        <v>592</v>
      </c>
      <c r="B219" s="25" t="s">
        <v>2275</v>
      </c>
      <c r="C219" s="25" t="s">
        <v>156</v>
      </c>
      <c r="D219" s="25" t="s">
        <v>162</v>
      </c>
      <c r="E219" s="25" t="s">
        <v>100</v>
      </c>
      <c r="F219" s="26">
        <v>13990.37</v>
      </c>
      <c r="H219" s="50"/>
      <c r="I219" s="15">
        <f t="shared" si="3"/>
        <v>13990</v>
      </c>
      <c r="L219" s="25" t="s">
        <v>586</v>
      </c>
      <c r="M219" s="25" t="s">
        <v>587</v>
      </c>
      <c r="N219" s="26">
        <v>144859.21</v>
      </c>
      <c r="O219" s="26">
        <v>0</v>
      </c>
      <c r="P219" s="27">
        <v>144859.21</v>
      </c>
      <c r="Q219" s="26">
        <v>0</v>
      </c>
    </row>
    <row r="220" spans="1:17">
      <c r="A220" s="25" t="s">
        <v>597</v>
      </c>
      <c r="B220" s="25" t="s">
        <v>595</v>
      </c>
      <c r="C220" s="25" t="s">
        <v>156</v>
      </c>
      <c r="D220" s="25" t="s">
        <v>169</v>
      </c>
      <c r="E220" s="25" t="s">
        <v>2252</v>
      </c>
      <c r="F220" s="26">
        <v>395934.79</v>
      </c>
      <c r="H220" s="50"/>
      <c r="I220" s="15">
        <f t="shared" si="3"/>
        <v>395935</v>
      </c>
      <c r="L220" s="25" t="s">
        <v>588</v>
      </c>
      <c r="M220" s="25" t="s">
        <v>589</v>
      </c>
      <c r="N220" s="26">
        <v>36118.29</v>
      </c>
      <c r="O220" s="26">
        <v>0</v>
      </c>
      <c r="P220" s="27">
        <v>36118.29</v>
      </c>
      <c r="Q220" s="26">
        <v>0</v>
      </c>
    </row>
    <row r="221" spans="1:17">
      <c r="A221" s="25" t="s">
        <v>620</v>
      </c>
      <c r="B221" s="25" t="s">
        <v>621</v>
      </c>
      <c r="C221" s="25" t="s">
        <v>156</v>
      </c>
      <c r="D221" s="25" t="s">
        <v>169</v>
      </c>
      <c r="E221" s="25" t="s">
        <v>622</v>
      </c>
      <c r="F221" s="26">
        <v>2270689.21</v>
      </c>
      <c r="H221" s="50"/>
      <c r="I221" s="15">
        <f>ROUND(F221,0)+G169+G170+G172</f>
        <v>2198764</v>
      </c>
      <c r="L221" s="25" t="s">
        <v>590</v>
      </c>
      <c r="M221" s="25" t="s">
        <v>591</v>
      </c>
      <c r="N221" s="26">
        <v>19007.88</v>
      </c>
      <c r="O221" s="27">
        <v>19007.88</v>
      </c>
      <c r="P221" s="26">
        <v>0</v>
      </c>
      <c r="Q221" s="26">
        <v>0</v>
      </c>
    </row>
    <row r="222" spans="1:17">
      <c r="A222" s="25" t="s">
        <v>623</v>
      </c>
      <c r="B222" s="25" t="s">
        <v>624</v>
      </c>
      <c r="C222" s="25" t="s">
        <v>156</v>
      </c>
      <c r="D222" s="25" t="s">
        <v>169</v>
      </c>
      <c r="E222" s="25" t="s">
        <v>625</v>
      </c>
      <c r="F222" s="26">
        <v>2312037.59</v>
      </c>
      <c r="H222" s="50"/>
      <c r="I222" s="15">
        <f>ROUND(F222,0)+G169+G170+G172</f>
        <v>2240113</v>
      </c>
      <c r="L222" s="25" t="s">
        <v>592</v>
      </c>
      <c r="M222" s="25" t="s">
        <v>2275</v>
      </c>
      <c r="N222" s="26">
        <v>13990.37</v>
      </c>
      <c r="O222" s="27">
        <v>13990.37</v>
      </c>
      <c r="P222" s="26">
        <v>0</v>
      </c>
      <c r="Q222" s="26">
        <v>0</v>
      </c>
    </row>
    <row r="223" spans="1:17">
      <c r="A223" s="25" t="s">
        <v>626</v>
      </c>
      <c r="B223" s="25" t="s">
        <v>627</v>
      </c>
      <c r="C223" s="25" t="s">
        <v>156</v>
      </c>
      <c r="D223" s="25" t="s">
        <v>157</v>
      </c>
      <c r="E223" s="25" t="s">
        <v>100</v>
      </c>
      <c r="F223" s="26">
        <v>0</v>
      </c>
      <c r="H223" s="50"/>
      <c r="I223" s="15">
        <f t="shared" si="3"/>
        <v>0</v>
      </c>
      <c r="L223" s="25" t="s">
        <v>597</v>
      </c>
      <c r="M223" s="25" t="s">
        <v>595</v>
      </c>
      <c r="N223" s="26">
        <v>395934.79</v>
      </c>
      <c r="O223" s="26">
        <v>214957.29</v>
      </c>
      <c r="P223" s="26">
        <v>180977.5</v>
      </c>
      <c r="Q223" s="26">
        <v>0</v>
      </c>
    </row>
    <row r="224" spans="1:17">
      <c r="A224" s="25" t="s">
        <v>628</v>
      </c>
      <c r="B224" s="25" t="s">
        <v>629</v>
      </c>
      <c r="C224" s="25" t="s">
        <v>156</v>
      </c>
      <c r="D224" s="25" t="s">
        <v>162</v>
      </c>
      <c r="E224" s="25" t="s">
        <v>100</v>
      </c>
      <c r="F224" s="26">
        <v>10278.959999999999</v>
      </c>
      <c r="H224" s="50"/>
      <c r="I224" s="15">
        <f t="shared" si="3"/>
        <v>10279</v>
      </c>
      <c r="L224" s="25" t="s">
        <v>620</v>
      </c>
      <c r="M224" s="25" t="s">
        <v>621</v>
      </c>
      <c r="N224" s="26">
        <v>2198763.71</v>
      </c>
      <c r="O224" s="26">
        <v>1614676.26</v>
      </c>
      <c r="P224" s="26">
        <v>593919.38</v>
      </c>
      <c r="Q224" s="26">
        <v>-9831.93</v>
      </c>
    </row>
    <row r="225" spans="1:9">
      <c r="A225" s="25" t="s">
        <v>630</v>
      </c>
      <c r="B225" s="25" t="s">
        <v>631</v>
      </c>
      <c r="C225" s="25" t="s">
        <v>156</v>
      </c>
      <c r="D225" s="25" t="s">
        <v>169</v>
      </c>
      <c r="E225" s="25" t="s">
        <v>632</v>
      </c>
      <c r="F225" s="26">
        <v>10278.959999999999</v>
      </c>
      <c r="H225" s="50"/>
      <c r="I225" s="15">
        <f t="shared" si="3"/>
        <v>10279</v>
      </c>
    </row>
    <row r="226" spans="1:9">
      <c r="A226" s="25" t="s">
        <v>633</v>
      </c>
      <c r="B226" s="25" t="s">
        <v>634</v>
      </c>
      <c r="C226" s="25" t="s">
        <v>156</v>
      </c>
      <c r="D226" s="25" t="s">
        <v>169</v>
      </c>
      <c r="E226" s="25" t="s">
        <v>635</v>
      </c>
      <c r="F226" s="26">
        <v>2322316.5499999998</v>
      </c>
      <c r="H226" s="50"/>
      <c r="I226" s="15">
        <f>ROUND(F226,0)+G169+G170+G172</f>
        <v>2250392</v>
      </c>
    </row>
    <row r="227" spans="1:9">
      <c r="A227" s="25" t="s">
        <v>636</v>
      </c>
      <c r="B227" s="25" t="s">
        <v>637</v>
      </c>
      <c r="C227" s="25" t="s">
        <v>156</v>
      </c>
      <c r="D227" s="25" t="s">
        <v>157</v>
      </c>
      <c r="E227" s="25" t="s">
        <v>100</v>
      </c>
      <c r="F227" s="26">
        <v>0</v>
      </c>
      <c r="H227" s="50"/>
      <c r="I227" s="15">
        <f t="shared" si="3"/>
        <v>0</v>
      </c>
    </row>
    <row r="228" spans="1:9">
      <c r="A228" s="25" t="s">
        <v>2165</v>
      </c>
      <c r="B228" s="25" t="s">
        <v>639</v>
      </c>
      <c r="C228" s="25" t="s">
        <v>156</v>
      </c>
      <c r="D228" s="25" t="s">
        <v>157</v>
      </c>
      <c r="E228" s="25" t="s">
        <v>100</v>
      </c>
      <c r="F228" s="26">
        <v>0</v>
      </c>
      <c r="H228" s="50"/>
      <c r="I228" s="15">
        <f t="shared" si="3"/>
        <v>0</v>
      </c>
    </row>
    <row r="229" spans="1:9">
      <c r="A229" s="25" t="s">
        <v>638</v>
      </c>
      <c r="B229" s="25" t="s">
        <v>639</v>
      </c>
      <c r="C229" s="25" t="s">
        <v>156</v>
      </c>
      <c r="D229" s="25" t="s">
        <v>157</v>
      </c>
      <c r="E229" s="25" t="s">
        <v>100</v>
      </c>
      <c r="F229" s="26">
        <v>0</v>
      </c>
      <c r="H229" s="50"/>
      <c r="I229" s="15">
        <f t="shared" si="3"/>
        <v>0</v>
      </c>
    </row>
    <row r="230" spans="1:9">
      <c r="A230" s="25" t="s">
        <v>640</v>
      </c>
      <c r="B230" s="25" t="s">
        <v>641</v>
      </c>
      <c r="C230" s="25" t="s">
        <v>156</v>
      </c>
      <c r="D230" s="25" t="s">
        <v>162</v>
      </c>
      <c r="E230" s="25" t="s">
        <v>100</v>
      </c>
      <c r="F230" s="26">
        <v>-3252214.9</v>
      </c>
      <c r="H230" s="50"/>
      <c r="I230" s="15">
        <f t="shared" si="3"/>
        <v>-3252215</v>
      </c>
    </row>
    <row r="231" spans="1:9">
      <c r="A231" s="25" t="s">
        <v>642</v>
      </c>
      <c r="B231" s="25" t="s">
        <v>643</v>
      </c>
      <c r="C231" s="25" t="s">
        <v>156</v>
      </c>
      <c r="D231" s="25" t="s">
        <v>162</v>
      </c>
      <c r="E231" s="25" t="s">
        <v>100</v>
      </c>
      <c r="F231" s="26">
        <v>-57700.81</v>
      </c>
      <c r="H231" s="50"/>
      <c r="I231" s="15">
        <f t="shared" si="3"/>
        <v>-57701</v>
      </c>
    </row>
    <row r="232" spans="1:9">
      <c r="A232" s="25" t="s">
        <v>644</v>
      </c>
      <c r="B232" s="25" t="s">
        <v>645</v>
      </c>
      <c r="C232" s="25" t="s">
        <v>156</v>
      </c>
      <c r="D232" s="25" t="s">
        <v>162</v>
      </c>
      <c r="E232" s="25" t="s">
        <v>100</v>
      </c>
      <c r="F232" s="26">
        <v>11625</v>
      </c>
      <c r="H232" s="50"/>
      <c r="I232" s="15">
        <f t="shared" si="3"/>
        <v>11625</v>
      </c>
    </row>
    <row r="233" spans="1:9">
      <c r="A233" s="25" t="s">
        <v>646</v>
      </c>
      <c r="B233" s="25" t="s">
        <v>202</v>
      </c>
      <c r="C233" s="25" t="s">
        <v>156</v>
      </c>
      <c r="D233" s="25" t="s">
        <v>162</v>
      </c>
      <c r="E233" s="25" t="s">
        <v>100</v>
      </c>
      <c r="F233" s="26">
        <v>0</v>
      </c>
      <c r="H233" s="50"/>
      <c r="I233" s="15">
        <f t="shared" si="3"/>
        <v>0</v>
      </c>
    </row>
    <row r="234" spans="1:9">
      <c r="A234" s="25" t="s">
        <v>647</v>
      </c>
      <c r="B234" s="25" t="s">
        <v>648</v>
      </c>
      <c r="C234" s="25" t="s">
        <v>156</v>
      </c>
      <c r="D234" s="25" t="s">
        <v>162</v>
      </c>
      <c r="E234" s="25" t="s">
        <v>100</v>
      </c>
      <c r="F234" s="26">
        <v>99800</v>
      </c>
      <c r="H234" s="50">
        <v>23154</v>
      </c>
      <c r="I234" s="15">
        <f>ROUND(F234,0)+G234+H234</f>
        <v>122954</v>
      </c>
    </row>
    <row r="235" spans="1:9">
      <c r="A235" s="25" t="s">
        <v>649</v>
      </c>
      <c r="B235" s="25" t="s">
        <v>650</v>
      </c>
      <c r="C235" s="25" t="s">
        <v>156</v>
      </c>
      <c r="D235" s="25" t="s">
        <v>162</v>
      </c>
      <c r="E235" s="25" t="s">
        <v>100</v>
      </c>
      <c r="F235" s="26">
        <v>251441.66</v>
      </c>
      <c r="G235" s="3">
        <v>3266.19</v>
      </c>
      <c r="H235" s="50"/>
      <c r="I235" s="15">
        <f>ROUND(F235,0)+G235</f>
        <v>254708.19</v>
      </c>
    </row>
    <row r="236" spans="1:9">
      <c r="A236" s="25" t="s">
        <v>651</v>
      </c>
      <c r="B236" s="25" t="s">
        <v>652</v>
      </c>
      <c r="C236" s="25" t="s">
        <v>156</v>
      </c>
      <c r="D236" s="25" t="s">
        <v>162</v>
      </c>
      <c r="E236" s="25" t="s">
        <v>100</v>
      </c>
      <c r="F236" s="26">
        <v>254123.46</v>
      </c>
      <c r="H236" s="50"/>
      <c r="I236" s="15">
        <f t="shared" si="3"/>
        <v>254123</v>
      </c>
    </row>
    <row r="237" spans="1:9">
      <c r="A237" s="25" t="s">
        <v>653</v>
      </c>
      <c r="B237" s="25" t="s">
        <v>654</v>
      </c>
      <c r="C237" s="25" t="s">
        <v>156</v>
      </c>
      <c r="D237" s="25" t="s">
        <v>162</v>
      </c>
      <c r="E237" s="25" t="s">
        <v>100</v>
      </c>
      <c r="F237" s="26">
        <v>1055</v>
      </c>
      <c r="H237" s="50"/>
      <c r="I237" s="15">
        <f t="shared" si="3"/>
        <v>1055</v>
      </c>
    </row>
    <row r="238" spans="1:9">
      <c r="A238" s="25" t="s">
        <v>655</v>
      </c>
      <c r="B238" s="25" t="s">
        <v>656</v>
      </c>
      <c r="C238" s="25" t="s">
        <v>156</v>
      </c>
      <c r="D238" s="25" t="s">
        <v>162</v>
      </c>
      <c r="E238" s="25" t="s">
        <v>100</v>
      </c>
      <c r="F238" s="26">
        <v>36346.230000000003</v>
      </c>
      <c r="H238" s="50"/>
      <c r="I238" s="15">
        <f t="shared" si="3"/>
        <v>36346</v>
      </c>
    </row>
    <row r="239" spans="1:9">
      <c r="A239" s="25" t="s">
        <v>657</v>
      </c>
      <c r="B239" s="25" t="s">
        <v>658</v>
      </c>
      <c r="C239" s="25" t="s">
        <v>156</v>
      </c>
      <c r="D239" s="25" t="s">
        <v>162</v>
      </c>
      <c r="E239" s="25" t="s">
        <v>100</v>
      </c>
      <c r="F239" s="26">
        <v>1188.45</v>
      </c>
      <c r="H239" s="50"/>
      <c r="I239" s="15">
        <f t="shared" si="3"/>
        <v>1188</v>
      </c>
    </row>
    <row r="240" spans="1:9">
      <c r="A240" s="25" t="s">
        <v>659</v>
      </c>
      <c r="B240" s="25" t="s">
        <v>660</v>
      </c>
      <c r="C240" s="25" t="s">
        <v>156</v>
      </c>
      <c r="D240" s="25" t="s">
        <v>162</v>
      </c>
      <c r="E240" s="25" t="s">
        <v>100</v>
      </c>
      <c r="F240" s="26">
        <v>1078513.82</v>
      </c>
      <c r="H240" s="50"/>
      <c r="I240" s="15">
        <f t="shared" si="3"/>
        <v>1078514</v>
      </c>
    </row>
    <row r="241" spans="1:9">
      <c r="A241" s="25" t="s">
        <v>661</v>
      </c>
      <c r="B241" s="25" t="s">
        <v>662</v>
      </c>
      <c r="C241" s="25" t="s">
        <v>156</v>
      </c>
      <c r="D241" s="25" t="s">
        <v>162</v>
      </c>
      <c r="E241" s="25" t="s">
        <v>100</v>
      </c>
      <c r="F241" s="26">
        <v>0</v>
      </c>
      <c r="H241" s="50"/>
      <c r="I241" s="15">
        <f t="shared" si="3"/>
        <v>0</v>
      </c>
    </row>
    <row r="242" spans="1:9">
      <c r="A242" s="25" t="s">
        <v>663</v>
      </c>
      <c r="B242" s="25" t="s">
        <v>664</v>
      </c>
      <c r="C242" s="25" t="s">
        <v>156</v>
      </c>
      <c r="D242" s="25" t="s">
        <v>162</v>
      </c>
      <c r="E242" s="25" t="s">
        <v>100</v>
      </c>
      <c r="F242" s="26">
        <v>928020.65</v>
      </c>
      <c r="H242" s="50"/>
      <c r="I242" s="15">
        <f t="shared" si="3"/>
        <v>928021</v>
      </c>
    </row>
    <row r="243" spans="1:9">
      <c r="A243" s="25" t="s">
        <v>665</v>
      </c>
      <c r="B243" s="25" t="s">
        <v>666</v>
      </c>
      <c r="C243" s="25" t="s">
        <v>156</v>
      </c>
      <c r="D243" s="25" t="s">
        <v>162</v>
      </c>
      <c r="E243" s="25" t="s">
        <v>100</v>
      </c>
      <c r="F243" s="26">
        <v>170668.21</v>
      </c>
      <c r="H243" s="50"/>
      <c r="I243" s="15">
        <f t="shared" si="3"/>
        <v>170668</v>
      </c>
    </row>
    <row r="244" spans="1:9">
      <c r="A244" s="25" t="s">
        <v>667</v>
      </c>
      <c r="B244" s="25" t="s">
        <v>220</v>
      </c>
      <c r="C244" s="25" t="s">
        <v>156</v>
      </c>
      <c r="D244" s="25" t="s">
        <v>162</v>
      </c>
      <c r="E244" s="25" t="s">
        <v>100</v>
      </c>
      <c r="F244" s="26">
        <v>105922</v>
      </c>
      <c r="H244" s="50"/>
      <c r="I244" s="15">
        <f t="shared" si="3"/>
        <v>105922</v>
      </c>
    </row>
    <row r="245" spans="1:9">
      <c r="A245" s="25" t="s">
        <v>2253</v>
      </c>
      <c r="B245" s="25" t="s">
        <v>1586</v>
      </c>
      <c r="C245" s="25" t="s">
        <v>156</v>
      </c>
      <c r="D245" s="25" t="s">
        <v>169</v>
      </c>
      <c r="E245" s="25" t="s">
        <v>2254</v>
      </c>
      <c r="F245" s="26">
        <v>-371211.23</v>
      </c>
      <c r="H245" s="50"/>
      <c r="I245" s="15">
        <f t="shared" si="3"/>
        <v>-371211</v>
      </c>
    </row>
    <row r="246" spans="1:9">
      <c r="A246" s="25" t="s">
        <v>2255</v>
      </c>
      <c r="B246" s="25" t="s">
        <v>2256</v>
      </c>
      <c r="C246" s="25" t="s">
        <v>156</v>
      </c>
      <c r="D246" s="25" t="s">
        <v>157</v>
      </c>
      <c r="E246" s="25" t="s">
        <v>100</v>
      </c>
      <c r="F246" s="26">
        <v>0</v>
      </c>
      <c r="H246" s="50"/>
      <c r="I246" s="15">
        <f t="shared" si="3"/>
        <v>0</v>
      </c>
    </row>
    <row r="247" spans="1:9">
      <c r="A247" s="25" t="s">
        <v>668</v>
      </c>
      <c r="B247" s="25" t="s">
        <v>669</v>
      </c>
      <c r="C247" s="25" t="s">
        <v>156</v>
      </c>
      <c r="D247" s="25" t="s">
        <v>162</v>
      </c>
      <c r="E247" s="25" t="s">
        <v>100</v>
      </c>
      <c r="F247" s="26">
        <v>297029.52</v>
      </c>
      <c r="H247" s="50"/>
      <c r="I247" s="15">
        <f t="shared" si="3"/>
        <v>297030</v>
      </c>
    </row>
    <row r="248" spans="1:9">
      <c r="A248" s="25" t="s">
        <v>670</v>
      </c>
      <c r="B248" s="25" t="s">
        <v>671</v>
      </c>
      <c r="C248" s="25" t="s">
        <v>156</v>
      </c>
      <c r="D248" s="25" t="s">
        <v>162</v>
      </c>
      <c r="E248" s="25" t="s">
        <v>100</v>
      </c>
      <c r="F248" s="26">
        <v>0</v>
      </c>
      <c r="H248" s="50"/>
      <c r="I248" s="15">
        <f t="shared" si="3"/>
        <v>0</v>
      </c>
    </row>
    <row r="249" spans="1:9">
      <c r="A249" s="25" t="s">
        <v>2166</v>
      </c>
      <c r="B249" s="25" t="s">
        <v>2167</v>
      </c>
      <c r="C249" s="25" t="s">
        <v>156</v>
      </c>
      <c r="D249" s="25" t="s">
        <v>169</v>
      </c>
      <c r="E249" s="25" t="s">
        <v>2257</v>
      </c>
      <c r="F249" s="26">
        <v>297029.52</v>
      </c>
      <c r="H249" s="50"/>
      <c r="I249" s="15">
        <f t="shared" si="3"/>
        <v>297030</v>
      </c>
    </row>
    <row r="250" spans="1:9">
      <c r="A250" s="25" t="s">
        <v>672</v>
      </c>
      <c r="B250" s="25" t="s">
        <v>673</v>
      </c>
      <c r="C250" s="25" t="s">
        <v>156</v>
      </c>
      <c r="D250" s="25" t="s">
        <v>169</v>
      </c>
      <c r="E250" s="25" t="s">
        <v>2169</v>
      </c>
      <c r="F250" s="26">
        <v>-74181.710000000006</v>
      </c>
      <c r="H250" s="50"/>
      <c r="I250" s="15">
        <f>ROUND(F250,0)+G235+H234</f>
        <v>-47761.81</v>
      </c>
    </row>
    <row r="251" spans="1:9">
      <c r="A251" s="25" t="s">
        <v>675</v>
      </c>
      <c r="B251" s="25" t="s">
        <v>676</v>
      </c>
      <c r="C251" s="25" t="s">
        <v>156</v>
      </c>
      <c r="D251" s="25" t="s">
        <v>157</v>
      </c>
      <c r="E251" s="25" t="s">
        <v>100</v>
      </c>
      <c r="F251" s="26">
        <v>0</v>
      </c>
      <c r="H251" s="50"/>
      <c r="I251" s="15">
        <f t="shared" si="3"/>
        <v>0</v>
      </c>
    </row>
    <row r="252" spans="1:9">
      <c r="A252" s="25" t="s">
        <v>677</v>
      </c>
      <c r="B252" s="25" t="s">
        <v>678</v>
      </c>
      <c r="C252" s="25" t="s">
        <v>156</v>
      </c>
      <c r="D252" s="25" t="s">
        <v>162</v>
      </c>
      <c r="E252" s="25" t="s">
        <v>100</v>
      </c>
      <c r="F252" s="26">
        <v>0</v>
      </c>
      <c r="H252" s="50"/>
      <c r="I252" s="15">
        <f t="shared" si="3"/>
        <v>0</v>
      </c>
    </row>
    <row r="253" spans="1:9">
      <c r="A253" s="25" t="s">
        <v>679</v>
      </c>
      <c r="B253" s="25" t="s">
        <v>680</v>
      </c>
      <c r="C253" s="25" t="s">
        <v>156</v>
      </c>
      <c r="D253" s="25" t="s">
        <v>162</v>
      </c>
      <c r="E253" s="25" t="s">
        <v>100</v>
      </c>
      <c r="F253" s="26">
        <v>0</v>
      </c>
      <c r="H253" s="50"/>
      <c r="I253" s="15">
        <f t="shared" si="3"/>
        <v>0</v>
      </c>
    </row>
    <row r="254" spans="1:9">
      <c r="A254" s="25" t="s">
        <v>681</v>
      </c>
      <c r="B254" s="25" t="s">
        <v>682</v>
      </c>
      <c r="C254" s="25" t="s">
        <v>156</v>
      </c>
      <c r="D254" s="25" t="s">
        <v>169</v>
      </c>
      <c r="E254" s="25" t="s">
        <v>683</v>
      </c>
      <c r="F254" s="26">
        <v>0</v>
      </c>
      <c r="H254" s="50"/>
      <c r="I254" s="15">
        <f t="shared" si="3"/>
        <v>0</v>
      </c>
    </row>
    <row r="255" spans="1:9">
      <c r="A255" s="25" t="s">
        <v>684</v>
      </c>
      <c r="B255" s="25" t="s">
        <v>685</v>
      </c>
      <c r="C255" s="25" t="s">
        <v>156</v>
      </c>
      <c r="D255" s="25" t="s">
        <v>157</v>
      </c>
      <c r="E255" s="25" t="s">
        <v>100</v>
      </c>
      <c r="F255" s="26">
        <v>0</v>
      </c>
      <c r="H255" s="50"/>
      <c r="I255" s="15">
        <f t="shared" si="3"/>
        <v>0</v>
      </c>
    </row>
    <row r="256" spans="1:9">
      <c r="A256" s="25" t="s">
        <v>686</v>
      </c>
      <c r="B256" s="25" t="s">
        <v>687</v>
      </c>
      <c r="C256" s="25" t="s">
        <v>156</v>
      </c>
      <c r="D256" s="25" t="s">
        <v>162</v>
      </c>
      <c r="E256" s="25" t="s">
        <v>100</v>
      </c>
      <c r="F256" s="26">
        <v>187863.12</v>
      </c>
      <c r="H256" s="50"/>
      <c r="I256" s="15">
        <f t="shared" si="3"/>
        <v>187863</v>
      </c>
    </row>
    <row r="257" spans="1:9">
      <c r="A257" s="25" t="s">
        <v>688</v>
      </c>
      <c r="B257" s="25" t="s">
        <v>689</v>
      </c>
      <c r="C257" s="25" t="s">
        <v>156</v>
      </c>
      <c r="D257" s="25" t="s">
        <v>162</v>
      </c>
      <c r="E257" s="25" t="s">
        <v>100</v>
      </c>
      <c r="F257" s="26">
        <v>950</v>
      </c>
      <c r="H257" s="50"/>
      <c r="I257" s="15">
        <f t="shared" si="3"/>
        <v>950</v>
      </c>
    </row>
    <row r="258" spans="1:9">
      <c r="A258" s="25" t="s">
        <v>690</v>
      </c>
      <c r="B258" s="25" t="s">
        <v>691</v>
      </c>
      <c r="C258" s="25" t="s">
        <v>156</v>
      </c>
      <c r="D258" s="25" t="s">
        <v>162</v>
      </c>
      <c r="E258" s="25" t="s">
        <v>100</v>
      </c>
      <c r="F258" s="26">
        <v>24989.51</v>
      </c>
      <c r="H258" s="50"/>
      <c r="I258" s="15">
        <f t="shared" si="3"/>
        <v>24990</v>
      </c>
    </row>
    <row r="259" spans="1:9">
      <c r="A259" s="25" t="s">
        <v>692</v>
      </c>
      <c r="B259" s="25" t="s">
        <v>693</v>
      </c>
      <c r="C259" s="25" t="s">
        <v>156</v>
      </c>
      <c r="D259" s="25" t="s">
        <v>162</v>
      </c>
      <c r="E259" s="25" t="s">
        <v>100</v>
      </c>
      <c r="F259" s="26">
        <v>12058.08</v>
      </c>
      <c r="H259" s="50"/>
      <c r="I259" s="15">
        <f t="shared" si="3"/>
        <v>12058</v>
      </c>
    </row>
    <row r="260" spans="1:9">
      <c r="A260" s="25" t="s">
        <v>694</v>
      </c>
      <c r="B260" s="25" t="s">
        <v>695</v>
      </c>
      <c r="C260" s="25" t="s">
        <v>156</v>
      </c>
      <c r="D260" s="25" t="s">
        <v>162</v>
      </c>
      <c r="E260" s="25" t="s">
        <v>100</v>
      </c>
      <c r="F260" s="26">
        <v>20048.23</v>
      </c>
      <c r="H260" s="50"/>
      <c r="I260" s="15">
        <f t="shared" ref="I260:I323" si="4">ROUND(F260,0)</f>
        <v>20048</v>
      </c>
    </row>
    <row r="261" spans="1:9">
      <c r="A261" s="25" t="s">
        <v>696</v>
      </c>
      <c r="B261" s="25" t="s">
        <v>697</v>
      </c>
      <c r="C261" s="25" t="s">
        <v>156</v>
      </c>
      <c r="D261" s="25" t="s">
        <v>169</v>
      </c>
      <c r="E261" s="25" t="s">
        <v>698</v>
      </c>
      <c r="F261" s="26">
        <v>245908.94</v>
      </c>
      <c r="H261" s="50"/>
      <c r="I261" s="15">
        <f t="shared" si="4"/>
        <v>245909</v>
      </c>
    </row>
    <row r="262" spans="1:9">
      <c r="A262" s="25" t="s">
        <v>699</v>
      </c>
      <c r="B262" s="25" t="s">
        <v>700</v>
      </c>
      <c r="C262" s="25" t="s">
        <v>156</v>
      </c>
      <c r="D262" s="25" t="s">
        <v>157</v>
      </c>
      <c r="E262" s="25" t="s">
        <v>100</v>
      </c>
      <c r="F262" s="26">
        <v>0</v>
      </c>
      <c r="H262" s="50"/>
      <c r="I262" s="15">
        <f t="shared" si="4"/>
        <v>0</v>
      </c>
    </row>
    <row r="263" spans="1:9">
      <c r="A263" s="25" t="s">
        <v>701</v>
      </c>
      <c r="B263" s="25" t="s">
        <v>702</v>
      </c>
      <c r="C263" s="25" t="s">
        <v>156</v>
      </c>
      <c r="D263" s="25" t="s">
        <v>162</v>
      </c>
      <c r="E263" s="25" t="s">
        <v>100</v>
      </c>
      <c r="F263" s="26">
        <v>-790525</v>
      </c>
      <c r="H263" s="50"/>
      <c r="I263" s="15">
        <f t="shared" si="4"/>
        <v>-790525</v>
      </c>
    </row>
    <row r="264" spans="1:9">
      <c r="A264" s="25" t="s">
        <v>703</v>
      </c>
      <c r="B264" s="25" t="s">
        <v>704</v>
      </c>
      <c r="C264" s="25" t="s">
        <v>156</v>
      </c>
      <c r="D264" s="25" t="s">
        <v>162</v>
      </c>
      <c r="E264" s="25" t="s">
        <v>100</v>
      </c>
      <c r="F264" s="26">
        <v>73855.59</v>
      </c>
      <c r="H264" s="50"/>
      <c r="I264" s="15">
        <f t="shared" si="4"/>
        <v>73856</v>
      </c>
    </row>
    <row r="265" spans="1:9">
      <c r="A265" s="25" t="s">
        <v>705</v>
      </c>
      <c r="B265" s="25" t="s">
        <v>664</v>
      </c>
      <c r="C265" s="25" t="s">
        <v>156</v>
      </c>
      <c r="D265" s="25" t="s">
        <v>162</v>
      </c>
      <c r="E265" s="25" t="s">
        <v>100</v>
      </c>
      <c r="F265" s="26">
        <v>560007.82999999996</v>
      </c>
      <c r="H265" s="50"/>
      <c r="I265" s="15">
        <f t="shared" si="4"/>
        <v>560008</v>
      </c>
    </row>
    <row r="266" spans="1:9">
      <c r="A266" s="25" t="s">
        <v>706</v>
      </c>
      <c r="B266" s="25" t="s">
        <v>707</v>
      </c>
      <c r="C266" s="25" t="s">
        <v>156</v>
      </c>
      <c r="D266" s="25" t="s">
        <v>162</v>
      </c>
      <c r="E266" s="25" t="s">
        <v>100</v>
      </c>
      <c r="F266" s="26">
        <v>22290</v>
      </c>
      <c r="H266" s="50"/>
      <c r="I266" s="15">
        <f t="shared" si="4"/>
        <v>22290</v>
      </c>
    </row>
    <row r="267" spans="1:9">
      <c r="A267" s="25" t="s">
        <v>708</v>
      </c>
      <c r="B267" s="25" t="s">
        <v>709</v>
      </c>
      <c r="C267" s="25" t="s">
        <v>156</v>
      </c>
      <c r="D267" s="25" t="s">
        <v>162</v>
      </c>
      <c r="E267" s="25" t="s">
        <v>100</v>
      </c>
      <c r="F267" s="26">
        <v>19720.439999999999</v>
      </c>
      <c r="H267" s="50"/>
      <c r="I267" s="15">
        <f t="shared" si="4"/>
        <v>19720</v>
      </c>
    </row>
    <row r="268" spans="1:9">
      <c r="A268" s="25" t="s">
        <v>710</v>
      </c>
      <c r="B268" s="25" t="s">
        <v>711</v>
      </c>
      <c r="C268" s="25" t="s">
        <v>156</v>
      </c>
      <c r="D268" s="25" t="s">
        <v>162</v>
      </c>
      <c r="E268" s="25" t="s">
        <v>100</v>
      </c>
      <c r="F268" s="26">
        <v>66675.679999999993</v>
      </c>
      <c r="G268" s="3">
        <v>5313.75</v>
      </c>
      <c r="H268" s="50"/>
      <c r="I268" s="15">
        <f>ROUND(F268,0)+G268</f>
        <v>71989.75</v>
      </c>
    </row>
    <row r="269" spans="1:9">
      <c r="A269" s="25" t="s">
        <v>712</v>
      </c>
      <c r="B269" s="25" t="s">
        <v>713</v>
      </c>
      <c r="C269" s="25" t="s">
        <v>156</v>
      </c>
      <c r="D269" s="25" t="s">
        <v>169</v>
      </c>
      <c r="E269" s="25" t="s">
        <v>714</v>
      </c>
      <c r="F269" s="26">
        <v>-47975.46</v>
      </c>
      <c r="H269" s="50"/>
      <c r="I269" s="15">
        <f>ROUND(F269,0)+G268</f>
        <v>-42661.25</v>
      </c>
    </row>
    <row r="270" spans="1:9">
      <c r="A270" s="25" t="s">
        <v>715</v>
      </c>
      <c r="B270" s="25" t="s">
        <v>716</v>
      </c>
      <c r="C270" s="25" t="s">
        <v>156</v>
      </c>
      <c r="D270" s="25" t="s">
        <v>169</v>
      </c>
      <c r="E270" s="25" t="s">
        <v>717</v>
      </c>
      <c r="F270" s="26">
        <v>123751.77</v>
      </c>
      <c r="H270" s="50"/>
      <c r="I270" s="15">
        <f>ROUND(F270,0)</f>
        <v>123752</v>
      </c>
    </row>
    <row r="271" spans="1:9">
      <c r="A271" s="25" t="s">
        <v>718</v>
      </c>
      <c r="B271" s="25" t="s">
        <v>719</v>
      </c>
      <c r="C271" s="25" t="s">
        <v>156</v>
      </c>
      <c r="D271" s="25" t="s">
        <v>157</v>
      </c>
      <c r="E271" s="25" t="s">
        <v>100</v>
      </c>
      <c r="F271" s="26">
        <v>0</v>
      </c>
      <c r="H271" s="50"/>
      <c r="I271" s="15">
        <f t="shared" si="4"/>
        <v>0</v>
      </c>
    </row>
    <row r="272" spans="1:9">
      <c r="A272" s="25" t="s">
        <v>720</v>
      </c>
      <c r="B272" s="25" t="s">
        <v>721</v>
      </c>
      <c r="C272" s="25" t="s">
        <v>156</v>
      </c>
      <c r="D272" s="25" t="s">
        <v>157</v>
      </c>
      <c r="E272" s="25" t="s">
        <v>100</v>
      </c>
      <c r="F272" s="26">
        <v>0</v>
      </c>
      <c r="H272" s="50"/>
      <c r="I272" s="15">
        <f t="shared" si="4"/>
        <v>0</v>
      </c>
    </row>
    <row r="273" spans="1:9">
      <c r="A273" s="25" t="s">
        <v>722</v>
      </c>
      <c r="B273" s="25" t="s">
        <v>723</v>
      </c>
      <c r="C273" s="25" t="s">
        <v>156</v>
      </c>
      <c r="D273" s="25" t="s">
        <v>162</v>
      </c>
      <c r="E273" s="25" t="s">
        <v>100</v>
      </c>
      <c r="F273" s="26">
        <v>-187714.53</v>
      </c>
      <c r="H273" s="50"/>
      <c r="I273" s="49">
        <f t="shared" si="4"/>
        <v>-187715</v>
      </c>
    </row>
    <row r="274" spans="1:9">
      <c r="A274" s="25" t="s">
        <v>724</v>
      </c>
      <c r="B274" s="25" t="s">
        <v>725</v>
      </c>
      <c r="C274" s="25" t="s">
        <v>156</v>
      </c>
      <c r="D274" s="25" t="s">
        <v>162</v>
      </c>
      <c r="E274" s="25" t="s">
        <v>100</v>
      </c>
      <c r="F274" s="26">
        <v>-49767.6</v>
      </c>
      <c r="H274" s="50"/>
      <c r="I274" s="49">
        <f t="shared" si="4"/>
        <v>-49768</v>
      </c>
    </row>
    <row r="275" spans="1:9">
      <c r="A275" s="25" t="s">
        <v>726</v>
      </c>
      <c r="B275" s="25" t="s">
        <v>757</v>
      </c>
      <c r="C275" s="25" t="s">
        <v>156</v>
      </c>
      <c r="D275" s="25" t="s">
        <v>162</v>
      </c>
      <c r="E275" s="25" t="s">
        <v>100</v>
      </c>
      <c r="F275" s="26">
        <v>0</v>
      </c>
      <c r="H275" s="50"/>
      <c r="I275" s="15">
        <f t="shared" si="4"/>
        <v>0</v>
      </c>
    </row>
    <row r="276" spans="1:9">
      <c r="A276" s="25" t="s">
        <v>728</v>
      </c>
      <c r="B276" s="25" t="s">
        <v>2276</v>
      </c>
      <c r="C276" s="25" t="s">
        <v>156</v>
      </c>
      <c r="D276" s="25" t="s">
        <v>162</v>
      </c>
      <c r="E276" s="25" t="s">
        <v>100</v>
      </c>
      <c r="F276" s="26">
        <v>0</v>
      </c>
      <c r="H276" s="50"/>
      <c r="I276" s="15">
        <f t="shared" si="4"/>
        <v>0</v>
      </c>
    </row>
    <row r="277" spans="1:9">
      <c r="A277" s="25" t="s">
        <v>730</v>
      </c>
      <c r="B277" s="25" t="s">
        <v>731</v>
      </c>
      <c r="C277" s="25" t="s">
        <v>156</v>
      </c>
      <c r="D277" s="25" t="s">
        <v>162</v>
      </c>
      <c r="E277" s="25" t="s">
        <v>100</v>
      </c>
      <c r="F277" s="26">
        <v>28564.95</v>
      </c>
      <c r="H277" s="50"/>
      <c r="I277" s="49">
        <f t="shared" si="4"/>
        <v>28565</v>
      </c>
    </row>
    <row r="278" spans="1:9">
      <c r="A278" s="25" t="s">
        <v>732</v>
      </c>
      <c r="B278" s="25" t="s">
        <v>733</v>
      </c>
      <c r="C278" s="25" t="s">
        <v>156</v>
      </c>
      <c r="D278" s="25" t="s">
        <v>162</v>
      </c>
      <c r="E278" s="25" t="s">
        <v>100</v>
      </c>
      <c r="F278" s="26">
        <v>924632.85</v>
      </c>
      <c r="H278" s="50"/>
      <c r="I278" s="49">
        <f t="shared" si="4"/>
        <v>924633</v>
      </c>
    </row>
    <row r="279" spans="1:9">
      <c r="A279" s="25" t="s">
        <v>734</v>
      </c>
      <c r="B279" s="25" t="s">
        <v>735</v>
      </c>
      <c r="C279" s="25" t="s">
        <v>156</v>
      </c>
      <c r="D279" s="25" t="s">
        <v>162</v>
      </c>
      <c r="E279" s="25" t="s">
        <v>100</v>
      </c>
      <c r="F279" s="26">
        <v>32841.86</v>
      </c>
      <c r="H279" s="50"/>
      <c r="I279" s="49">
        <f t="shared" si="4"/>
        <v>32842</v>
      </c>
    </row>
    <row r="280" spans="1:9">
      <c r="A280" s="25" t="s">
        <v>736</v>
      </c>
      <c r="B280" s="25" t="s">
        <v>737</v>
      </c>
      <c r="C280" s="25" t="s">
        <v>156</v>
      </c>
      <c r="D280" s="25" t="s">
        <v>162</v>
      </c>
      <c r="E280" s="25" t="s">
        <v>100</v>
      </c>
      <c r="F280" s="26">
        <v>35990.620000000003</v>
      </c>
      <c r="H280" s="50"/>
      <c r="I280" s="49">
        <f t="shared" si="4"/>
        <v>35991</v>
      </c>
    </row>
    <row r="281" spans="1:9">
      <c r="A281" s="25" t="s">
        <v>738</v>
      </c>
      <c r="B281" s="25" t="s">
        <v>739</v>
      </c>
      <c r="C281" s="25" t="s">
        <v>156</v>
      </c>
      <c r="D281" s="25" t="s">
        <v>162</v>
      </c>
      <c r="E281" s="25" t="s">
        <v>100</v>
      </c>
      <c r="F281" s="26">
        <v>18.309999999999999</v>
      </c>
      <c r="H281" s="50"/>
      <c r="I281" s="49">
        <f t="shared" si="4"/>
        <v>18</v>
      </c>
    </row>
    <row r="282" spans="1:9">
      <c r="A282" s="25" t="s">
        <v>740</v>
      </c>
      <c r="B282" s="25" t="s">
        <v>741</v>
      </c>
      <c r="C282" s="25" t="s">
        <v>156</v>
      </c>
      <c r="D282" s="25" t="s">
        <v>162</v>
      </c>
      <c r="E282" s="25" t="s">
        <v>100</v>
      </c>
      <c r="F282" s="26">
        <v>8506.75</v>
      </c>
      <c r="H282" s="50"/>
      <c r="I282" s="49">
        <f t="shared" si="4"/>
        <v>8507</v>
      </c>
    </row>
    <row r="283" spans="1:9">
      <c r="A283" s="25" t="s">
        <v>742</v>
      </c>
      <c r="B283" s="25" t="s">
        <v>743</v>
      </c>
      <c r="C283" s="25" t="s">
        <v>156</v>
      </c>
      <c r="D283" s="25" t="s">
        <v>162</v>
      </c>
      <c r="E283" s="25" t="s">
        <v>100</v>
      </c>
      <c r="F283" s="26">
        <v>5701.89</v>
      </c>
      <c r="H283" s="50"/>
      <c r="I283" s="49">
        <f t="shared" si="4"/>
        <v>5702</v>
      </c>
    </row>
    <row r="284" spans="1:9">
      <c r="A284" s="25" t="s">
        <v>744</v>
      </c>
      <c r="B284" s="25" t="s">
        <v>536</v>
      </c>
      <c r="C284" s="25" t="s">
        <v>156</v>
      </c>
      <c r="D284" s="25" t="s">
        <v>162</v>
      </c>
      <c r="E284" s="25" t="s">
        <v>100</v>
      </c>
      <c r="F284" s="26">
        <v>53503.69</v>
      </c>
      <c r="H284" s="50"/>
      <c r="I284" s="49">
        <f t="shared" si="4"/>
        <v>53504</v>
      </c>
    </row>
    <row r="285" spans="1:9">
      <c r="A285" s="25" t="s">
        <v>745</v>
      </c>
      <c r="B285" s="25" t="s">
        <v>2200</v>
      </c>
      <c r="C285" s="25" t="s">
        <v>156</v>
      </c>
      <c r="D285" s="25" t="s">
        <v>162</v>
      </c>
      <c r="E285" s="25" t="s">
        <v>100</v>
      </c>
      <c r="F285" s="26">
        <v>0</v>
      </c>
      <c r="H285" s="50"/>
      <c r="I285" s="15">
        <f t="shared" si="4"/>
        <v>0</v>
      </c>
    </row>
    <row r="286" spans="1:9">
      <c r="A286" s="25" t="s">
        <v>747</v>
      </c>
      <c r="B286" s="25" t="s">
        <v>748</v>
      </c>
      <c r="C286" s="25" t="s">
        <v>156</v>
      </c>
      <c r="D286" s="25" t="s">
        <v>162</v>
      </c>
      <c r="E286" s="25" t="s">
        <v>100</v>
      </c>
      <c r="F286" s="26">
        <v>181937.5</v>
      </c>
      <c r="H286" s="50"/>
      <c r="I286" s="49">
        <f t="shared" si="4"/>
        <v>181938</v>
      </c>
    </row>
    <row r="287" spans="1:9">
      <c r="A287" s="25" t="s">
        <v>749</v>
      </c>
      <c r="B287" s="25" t="s">
        <v>2201</v>
      </c>
      <c r="C287" s="25" t="s">
        <v>156</v>
      </c>
      <c r="D287" s="25" t="s">
        <v>162</v>
      </c>
      <c r="E287" s="25" t="s">
        <v>100</v>
      </c>
      <c r="F287" s="26">
        <v>40474.1</v>
      </c>
      <c r="H287" s="50"/>
      <c r="I287" s="49">
        <f t="shared" si="4"/>
        <v>40474</v>
      </c>
    </row>
    <row r="288" spans="1:9">
      <c r="A288" s="25" t="s">
        <v>751</v>
      </c>
      <c r="B288" s="25" t="s">
        <v>752</v>
      </c>
      <c r="C288" s="25" t="s">
        <v>156</v>
      </c>
      <c r="D288" s="25" t="s">
        <v>162</v>
      </c>
      <c r="E288" s="25" t="s">
        <v>100</v>
      </c>
      <c r="F288" s="26">
        <v>818</v>
      </c>
      <c r="H288" s="50"/>
      <c r="I288" s="49">
        <f t="shared" si="4"/>
        <v>818</v>
      </c>
    </row>
    <row r="289" spans="1:9">
      <c r="A289" s="25" t="s">
        <v>753</v>
      </c>
      <c r="B289" s="25" t="s">
        <v>220</v>
      </c>
      <c r="C289" s="25" t="s">
        <v>156</v>
      </c>
      <c r="D289" s="25" t="s">
        <v>162</v>
      </c>
      <c r="E289" s="25" t="s">
        <v>100</v>
      </c>
      <c r="F289" s="26">
        <v>12726.21</v>
      </c>
      <c r="H289" s="50"/>
      <c r="I289" s="15">
        <f t="shared" si="4"/>
        <v>12726</v>
      </c>
    </row>
    <row r="290" spans="1:9">
      <c r="A290" s="25" t="s">
        <v>754</v>
      </c>
      <c r="B290" s="25" t="s">
        <v>755</v>
      </c>
      <c r="C290" s="25" t="s">
        <v>156</v>
      </c>
      <c r="D290" s="25" t="s">
        <v>162</v>
      </c>
      <c r="E290" s="25" t="s">
        <v>100</v>
      </c>
      <c r="F290" s="26">
        <v>-193.38</v>
      </c>
      <c r="H290" s="50"/>
      <c r="I290" s="15">
        <f t="shared" si="4"/>
        <v>-193</v>
      </c>
    </row>
    <row r="291" spans="1:9">
      <c r="A291" s="25" t="s">
        <v>756</v>
      </c>
      <c r="B291" s="25" t="s">
        <v>1533</v>
      </c>
      <c r="C291" s="25" t="s">
        <v>156</v>
      </c>
      <c r="D291" s="25" t="s">
        <v>162</v>
      </c>
      <c r="E291" s="25" t="s">
        <v>100</v>
      </c>
      <c r="F291" s="26">
        <v>0</v>
      </c>
      <c r="H291" s="50"/>
      <c r="I291" s="15">
        <f t="shared" si="4"/>
        <v>0</v>
      </c>
    </row>
    <row r="292" spans="1:9">
      <c r="A292" s="25" t="s">
        <v>758</v>
      </c>
      <c r="B292" s="25" t="s">
        <v>759</v>
      </c>
      <c r="C292" s="25" t="s">
        <v>156</v>
      </c>
      <c r="D292" s="25" t="s">
        <v>169</v>
      </c>
      <c r="E292" s="25" t="s">
        <v>760</v>
      </c>
      <c r="F292" s="26">
        <v>1088041.22</v>
      </c>
      <c r="H292" s="50"/>
      <c r="I292" s="15">
        <f t="shared" si="4"/>
        <v>1088041</v>
      </c>
    </row>
    <row r="293" spans="1:9">
      <c r="A293" s="25" t="s">
        <v>761</v>
      </c>
      <c r="B293" s="25" t="s">
        <v>762</v>
      </c>
      <c r="C293" s="25" t="s">
        <v>156</v>
      </c>
      <c r="D293" s="25" t="s">
        <v>157</v>
      </c>
      <c r="E293" s="25" t="s">
        <v>100</v>
      </c>
      <c r="F293" s="26">
        <v>0</v>
      </c>
      <c r="H293" s="50"/>
      <c r="I293" s="15">
        <f t="shared" si="4"/>
        <v>0</v>
      </c>
    </row>
    <row r="294" spans="1:9">
      <c r="A294" s="25" t="s">
        <v>763</v>
      </c>
      <c r="B294" s="25" t="s">
        <v>764</v>
      </c>
      <c r="C294" s="25" t="s">
        <v>156</v>
      </c>
      <c r="D294" s="25" t="s">
        <v>162</v>
      </c>
      <c r="E294" s="25" t="s">
        <v>100</v>
      </c>
      <c r="F294" s="26">
        <v>110659.51</v>
      </c>
      <c r="H294" s="50"/>
      <c r="I294" s="15">
        <f t="shared" si="4"/>
        <v>110660</v>
      </c>
    </row>
    <row r="295" spans="1:9">
      <c r="A295" s="25" t="s">
        <v>765</v>
      </c>
      <c r="B295" s="25" t="s">
        <v>766</v>
      </c>
      <c r="C295" s="25" t="s">
        <v>156</v>
      </c>
      <c r="D295" s="25" t="s">
        <v>162</v>
      </c>
      <c r="E295" s="25" t="s">
        <v>100</v>
      </c>
      <c r="F295" s="26">
        <v>67365.13</v>
      </c>
      <c r="H295" s="50"/>
      <c r="I295" s="15">
        <f t="shared" si="4"/>
        <v>67365</v>
      </c>
    </row>
    <row r="296" spans="1:9">
      <c r="A296" s="25" t="s">
        <v>767</v>
      </c>
      <c r="B296" s="25" t="s">
        <v>768</v>
      </c>
      <c r="C296" s="25" t="s">
        <v>156</v>
      </c>
      <c r="D296" s="25" t="s">
        <v>162</v>
      </c>
      <c r="E296" s="25" t="s">
        <v>100</v>
      </c>
      <c r="F296" s="26">
        <v>86616.93</v>
      </c>
      <c r="H296" s="50"/>
      <c r="I296" s="15">
        <f t="shared" si="4"/>
        <v>86617</v>
      </c>
    </row>
    <row r="297" spans="1:9">
      <c r="A297" s="25" t="s">
        <v>769</v>
      </c>
      <c r="B297" s="25" t="s">
        <v>770</v>
      </c>
      <c r="C297" s="25" t="s">
        <v>156</v>
      </c>
      <c r="D297" s="25" t="s">
        <v>162</v>
      </c>
      <c r="E297" s="25" t="s">
        <v>100</v>
      </c>
      <c r="F297" s="26">
        <v>0</v>
      </c>
      <c r="H297" s="50"/>
      <c r="I297" s="15">
        <f t="shared" si="4"/>
        <v>0</v>
      </c>
    </row>
    <row r="298" spans="1:9">
      <c r="A298" s="25" t="s">
        <v>771</v>
      </c>
      <c r="B298" s="25" t="s">
        <v>2277</v>
      </c>
      <c r="C298" s="25" t="s">
        <v>156</v>
      </c>
      <c r="D298" s="25" t="s">
        <v>162</v>
      </c>
      <c r="E298" s="25" t="s">
        <v>100</v>
      </c>
      <c r="F298" s="26">
        <v>0</v>
      </c>
      <c r="H298" s="50"/>
      <c r="I298" s="15">
        <f t="shared" si="4"/>
        <v>0</v>
      </c>
    </row>
    <row r="299" spans="1:9">
      <c r="A299" s="25" t="s">
        <v>773</v>
      </c>
      <c r="B299" s="25" t="s">
        <v>774</v>
      </c>
      <c r="C299" s="25" t="s">
        <v>156</v>
      </c>
      <c r="D299" s="25" t="s">
        <v>162</v>
      </c>
      <c r="E299" s="25" t="s">
        <v>100</v>
      </c>
      <c r="F299" s="26">
        <v>0</v>
      </c>
      <c r="H299" s="50"/>
      <c r="I299" s="15">
        <f t="shared" si="4"/>
        <v>0</v>
      </c>
    </row>
    <row r="300" spans="1:9">
      <c r="A300" s="25" t="s">
        <v>775</v>
      </c>
      <c r="B300" s="25" t="s">
        <v>776</v>
      </c>
      <c r="C300" s="25" t="s">
        <v>156</v>
      </c>
      <c r="D300" s="25" t="s">
        <v>169</v>
      </c>
      <c r="E300" s="25" t="s">
        <v>777</v>
      </c>
      <c r="F300" s="26">
        <v>264641.57</v>
      </c>
      <c r="H300" s="50"/>
      <c r="I300" s="15">
        <f t="shared" si="4"/>
        <v>264642</v>
      </c>
    </row>
    <row r="301" spans="1:9">
      <c r="A301" s="25" t="s">
        <v>778</v>
      </c>
      <c r="B301" s="25" t="s">
        <v>779</v>
      </c>
      <c r="C301" s="25" t="s">
        <v>156</v>
      </c>
      <c r="D301" s="25" t="s">
        <v>157</v>
      </c>
      <c r="E301" s="25" t="s">
        <v>100</v>
      </c>
      <c r="F301" s="26">
        <v>0</v>
      </c>
      <c r="H301" s="50"/>
      <c r="I301" s="15">
        <f t="shared" si="4"/>
        <v>0</v>
      </c>
    </row>
    <row r="302" spans="1:9">
      <c r="A302" s="25" t="s">
        <v>780</v>
      </c>
      <c r="B302" s="25" t="s">
        <v>781</v>
      </c>
      <c r="C302" s="25" t="s">
        <v>156</v>
      </c>
      <c r="D302" s="25" t="s">
        <v>162</v>
      </c>
      <c r="E302" s="25" t="s">
        <v>100</v>
      </c>
      <c r="F302" s="26">
        <v>83983</v>
      </c>
      <c r="G302" s="3">
        <v>60000</v>
      </c>
      <c r="H302" s="50"/>
      <c r="I302" s="15">
        <f>ROUND(F302,0)+G302</f>
        <v>143983</v>
      </c>
    </row>
    <row r="303" spans="1:9">
      <c r="A303" s="25" t="s">
        <v>782</v>
      </c>
      <c r="B303" s="25" t="s">
        <v>446</v>
      </c>
      <c r="C303" s="25" t="s">
        <v>156</v>
      </c>
      <c r="D303" s="25" t="s">
        <v>162</v>
      </c>
      <c r="E303" s="25" t="s">
        <v>100</v>
      </c>
      <c r="F303" s="26">
        <v>65557.5</v>
      </c>
      <c r="H303" s="50"/>
      <c r="I303" s="15">
        <f t="shared" si="4"/>
        <v>65558</v>
      </c>
    </row>
    <row r="304" spans="1:9">
      <c r="A304" s="25" t="s">
        <v>783</v>
      </c>
      <c r="B304" s="25" t="s">
        <v>784</v>
      </c>
      <c r="C304" s="25" t="s">
        <v>156</v>
      </c>
      <c r="D304" s="25" t="s">
        <v>162</v>
      </c>
      <c r="E304" s="25" t="s">
        <v>100</v>
      </c>
      <c r="F304" s="26">
        <v>0</v>
      </c>
      <c r="H304" s="50"/>
      <c r="I304" s="15">
        <f t="shared" si="4"/>
        <v>0</v>
      </c>
    </row>
    <row r="305" spans="1:9">
      <c r="A305" s="25" t="s">
        <v>785</v>
      </c>
      <c r="B305" s="25" t="s">
        <v>786</v>
      </c>
      <c r="C305" s="25" t="s">
        <v>156</v>
      </c>
      <c r="D305" s="25" t="s">
        <v>169</v>
      </c>
      <c r="E305" s="25" t="s">
        <v>787</v>
      </c>
      <c r="F305" s="26">
        <v>149540.5</v>
      </c>
      <c r="H305" s="50"/>
      <c r="I305" s="15">
        <f>ROUND(F305,0)+G302</f>
        <v>209541</v>
      </c>
    </row>
    <row r="306" spans="1:9">
      <c r="A306" s="25" t="s">
        <v>788</v>
      </c>
      <c r="B306" s="25" t="s">
        <v>817</v>
      </c>
      <c r="C306" s="25" t="s">
        <v>156</v>
      </c>
      <c r="D306" s="25" t="s">
        <v>157</v>
      </c>
      <c r="E306" s="25" t="s">
        <v>100</v>
      </c>
      <c r="F306" s="26">
        <v>0</v>
      </c>
      <c r="H306" s="50"/>
      <c r="I306" s="15">
        <f t="shared" si="4"/>
        <v>0</v>
      </c>
    </row>
    <row r="307" spans="1:9">
      <c r="A307" s="25" t="s">
        <v>2258</v>
      </c>
      <c r="B307" s="25" t="s">
        <v>819</v>
      </c>
      <c r="C307" s="25" t="s">
        <v>156</v>
      </c>
      <c r="D307" s="25" t="s">
        <v>162</v>
      </c>
      <c r="E307" s="25" t="s">
        <v>100</v>
      </c>
      <c r="F307" s="26">
        <v>60000</v>
      </c>
      <c r="H307" s="50"/>
      <c r="I307" s="15">
        <f t="shared" si="4"/>
        <v>60000</v>
      </c>
    </row>
    <row r="308" spans="1:9">
      <c r="A308" s="25" t="s">
        <v>2259</v>
      </c>
      <c r="B308" s="25" t="s">
        <v>821</v>
      </c>
      <c r="C308" s="25" t="s">
        <v>156</v>
      </c>
      <c r="D308" s="25" t="s">
        <v>169</v>
      </c>
      <c r="E308" s="25" t="s">
        <v>2260</v>
      </c>
      <c r="F308" s="26">
        <v>60000</v>
      </c>
      <c r="H308" s="50"/>
      <c r="I308" s="15">
        <f t="shared" si="4"/>
        <v>60000</v>
      </c>
    </row>
    <row r="309" spans="1:9">
      <c r="A309" s="25" t="s">
        <v>790</v>
      </c>
      <c r="B309" s="25" t="s">
        <v>824</v>
      </c>
      <c r="C309" s="25" t="s">
        <v>156</v>
      </c>
      <c r="D309" s="25" t="s">
        <v>157</v>
      </c>
      <c r="E309" s="25" t="s">
        <v>100</v>
      </c>
      <c r="F309" s="26">
        <v>0</v>
      </c>
      <c r="H309" s="50"/>
      <c r="I309" s="15">
        <f t="shared" si="4"/>
        <v>0</v>
      </c>
    </row>
    <row r="310" spans="1:9">
      <c r="A310" s="25" t="s">
        <v>791</v>
      </c>
      <c r="B310" s="25" t="s">
        <v>826</v>
      </c>
      <c r="C310" s="25" t="s">
        <v>156</v>
      </c>
      <c r="D310" s="25" t="s">
        <v>162</v>
      </c>
      <c r="E310" s="25" t="s">
        <v>100</v>
      </c>
      <c r="F310" s="26">
        <v>1148.4000000000001</v>
      </c>
      <c r="G310" s="3">
        <v>3550</v>
      </c>
      <c r="H310" s="50"/>
      <c r="I310" s="15">
        <f>ROUND(F310,0)+G310</f>
        <v>4698</v>
      </c>
    </row>
    <row r="311" spans="1:9">
      <c r="A311" s="25" t="s">
        <v>805</v>
      </c>
      <c r="B311" s="25" t="s">
        <v>828</v>
      </c>
      <c r="C311" s="25" t="s">
        <v>156</v>
      </c>
      <c r="D311" s="25" t="s">
        <v>169</v>
      </c>
      <c r="E311" s="25" t="s">
        <v>807</v>
      </c>
      <c r="F311" s="26">
        <v>1148.4000000000001</v>
      </c>
      <c r="H311" s="50"/>
      <c r="I311" s="15">
        <f t="shared" si="4"/>
        <v>1148</v>
      </c>
    </row>
    <row r="312" spans="1:9">
      <c r="A312" s="25" t="s">
        <v>830</v>
      </c>
      <c r="B312" s="25" t="s">
        <v>831</v>
      </c>
      <c r="C312" s="25" t="s">
        <v>156</v>
      </c>
      <c r="D312" s="25" t="s">
        <v>169</v>
      </c>
      <c r="E312" s="25" t="s">
        <v>832</v>
      </c>
      <c r="F312" s="26">
        <v>1563371.69</v>
      </c>
      <c r="H312" s="50"/>
      <c r="I312" s="15">
        <f t="shared" si="4"/>
        <v>1563372</v>
      </c>
    </row>
    <row r="313" spans="1:9">
      <c r="A313" s="25" t="s">
        <v>841</v>
      </c>
      <c r="B313" s="25" t="s">
        <v>842</v>
      </c>
      <c r="C313" s="25" t="s">
        <v>156</v>
      </c>
      <c r="D313" s="25" t="s">
        <v>169</v>
      </c>
      <c r="E313" s="25" t="s">
        <v>843</v>
      </c>
      <c r="F313" s="26">
        <v>14779779.859999999</v>
      </c>
      <c r="H313" s="50"/>
      <c r="I313" s="15">
        <f t="shared" si="4"/>
        <v>14779780</v>
      </c>
    </row>
    <row r="314" spans="1:9">
      <c r="A314" s="25" t="s">
        <v>2261</v>
      </c>
      <c r="B314" s="25" t="s">
        <v>2262</v>
      </c>
      <c r="C314" s="25" t="s">
        <v>156</v>
      </c>
      <c r="D314" s="25" t="s">
        <v>169</v>
      </c>
      <c r="E314" s="25" t="s">
        <v>2263</v>
      </c>
      <c r="F314" s="26">
        <v>14779779.859999999</v>
      </c>
      <c r="H314" s="50"/>
      <c r="I314" s="15">
        <f t="shared" si="4"/>
        <v>14779780</v>
      </c>
    </row>
    <row r="315" spans="1:9">
      <c r="A315" s="25" t="s">
        <v>844</v>
      </c>
      <c r="B315" s="25" t="s">
        <v>845</v>
      </c>
      <c r="C315" s="25" t="s">
        <v>156</v>
      </c>
      <c r="D315" s="25" t="s">
        <v>157</v>
      </c>
      <c r="E315" s="25" t="s">
        <v>100</v>
      </c>
      <c r="F315" s="26">
        <v>0</v>
      </c>
      <c r="H315" s="50"/>
      <c r="I315" s="15">
        <f t="shared" si="4"/>
        <v>0</v>
      </c>
    </row>
    <row r="316" spans="1:9">
      <c r="A316" s="25" t="s">
        <v>846</v>
      </c>
      <c r="B316" s="25" t="s">
        <v>847</v>
      </c>
      <c r="C316" s="25" t="s">
        <v>156</v>
      </c>
      <c r="D316" s="25" t="s">
        <v>162</v>
      </c>
      <c r="E316" s="25" t="s">
        <v>100</v>
      </c>
      <c r="F316" s="26">
        <v>450448.6</v>
      </c>
      <c r="G316" s="3">
        <v>-242287</v>
      </c>
      <c r="H316" s="50"/>
      <c r="I316" s="15">
        <f>ROUND(F316,0)+G316</f>
        <v>208162</v>
      </c>
    </row>
    <row r="317" spans="1:9">
      <c r="A317" s="25" t="s">
        <v>848</v>
      </c>
      <c r="B317" s="25" t="s">
        <v>849</v>
      </c>
      <c r="C317" s="25" t="s">
        <v>156</v>
      </c>
      <c r="D317" s="25" t="s">
        <v>162</v>
      </c>
      <c r="E317" s="25" t="s">
        <v>100</v>
      </c>
      <c r="F317" s="26">
        <v>0</v>
      </c>
      <c r="H317" s="50"/>
      <c r="I317" s="15">
        <f t="shared" si="4"/>
        <v>0</v>
      </c>
    </row>
    <row r="318" spans="1:9">
      <c r="A318" s="25" t="s">
        <v>850</v>
      </c>
      <c r="B318" s="25" t="s">
        <v>851</v>
      </c>
      <c r="C318" s="25" t="s">
        <v>156</v>
      </c>
      <c r="D318" s="25" t="s">
        <v>169</v>
      </c>
      <c r="E318" s="25" t="s">
        <v>852</v>
      </c>
      <c r="F318" s="26">
        <v>450448.6</v>
      </c>
      <c r="H318" s="50"/>
      <c r="I318" s="15">
        <f>ROUND(F318,0)+G316</f>
        <v>208162</v>
      </c>
    </row>
    <row r="319" spans="1:9">
      <c r="A319" s="25" t="s">
        <v>853</v>
      </c>
      <c r="B319" s="25" t="s">
        <v>854</v>
      </c>
      <c r="C319" s="25" t="s">
        <v>156</v>
      </c>
      <c r="D319" s="25" t="s">
        <v>157</v>
      </c>
      <c r="E319" s="25" t="s">
        <v>100</v>
      </c>
      <c r="F319" s="26">
        <v>0</v>
      </c>
      <c r="H319" s="50"/>
      <c r="I319" s="15">
        <f t="shared" si="4"/>
        <v>0</v>
      </c>
    </row>
    <row r="320" spans="1:9">
      <c r="A320" s="25" t="s">
        <v>855</v>
      </c>
      <c r="B320" s="25" t="s">
        <v>856</v>
      </c>
      <c r="C320" s="25" t="s">
        <v>156</v>
      </c>
      <c r="D320" s="25" t="s">
        <v>162</v>
      </c>
      <c r="E320" s="25" t="s">
        <v>100</v>
      </c>
      <c r="F320" s="26">
        <v>0</v>
      </c>
      <c r="H320" s="50"/>
      <c r="I320" s="15">
        <f t="shared" si="4"/>
        <v>0</v>
      </c>
    </row>
    <row r="321" spans="1:9">
      <c r="A321" s="25" t="s">
        <v>857</v>
      </c>
      <c r="B321" s="25" t="s">
        <v>2170</v>
      </c>
      <c r="C321" s="25" t="s">
        <v>156</v>
      </c>
      <c r="D321" s="25" t="s">
        <v>162</v>
      </c>
      <c r="E321" s="25" t="s">
        <v>100</v>
      </c>
      <c r="F321" s="26">
        <v>0</v>
      </c>
      <c r="H321" s="50"/>
      <c r="I321" s="15">
        <f t="shared" si="4"/>
        <v>0</v>
      </c>
    </row>
    <row r="322" spans="1:9">
      <c r="A322" s="25" t="s">
        <v>859</v>
      </c>
      <c r="B322" s="25" t="s">
        <v>860</v>
      </c>
      <c r="C322" s="25" t="s">
        <v>156</v>
      </c>
      <c r="D322" s="25" t="s">
        <v>162</v>
      </c>
      <c r="E322" s="25" t="s">
        <v>100</v>
      </c>
      <c r="F322" s="26">
        <v>0</v>
      </c>
      <c r="H322" s="50"/>
      <c r="I322" s="15">
        <f t="shared" si="4"/>
        <v>0</v>
      </c>
    </row>
    <row r="323" spans="1:9">
      <c r="A323" s="25" t="s">
        <v>2264</v>
      </c>
      <c r="B323" s="25" t="s">
        <v>862</v>
      </c>
      <c r="C323" s="25" t="s">
        <v>156</v>
      </c>
      <c r="D323" s="25" t="s">
        <v>169</v>
      </c>
      <c r="E323" s="25" t="s">
        <v>2265</v>
      </c>
      <c r="F323" s="26">
        <v>0</v>
      </c>
      <c r="H323" s="50"/>
      <c r="I323" s="15">
        <f t="shared" si="4"/>
        <v>0</v>
      </c>
    </row>
    <row r="324" spans="1:9">
      <c r="A324" s="25" t="s">
        <v>861</v>
      </c>
      <c r="B324" s="25" t="s">
        <v>862</v>
      </c>
      <c r="C324" s="25" t="s">
        <v>156</v>
      </c>
      <c r="D324" s="25" t="s">
        <v>598</v>
      </c>
      <c r="E324" s="25" t="s">
        <v>863</v>
      </c>
      <c r="F324" s="26">
        <v>450448.6</v>
      </c>
      <c r="H324" s="50"/>
      <c r="I324" s="15">
        <f t="shared" ref="I324:I387" si="5">ROUND(F324,0)</f>
        <v>450449</v>
      </c>
    </row>
    <row r="325" spans="1:9">
      <c r="A325" s="25" t="s">
        <v>864</v>
      </c>
      <c r="B325" s="25" t="s">
        <v>865</v>
      </c>
      <c r="C325" s="25" t="s">
        <v>156</v>
      </c>
      <c r="D325" s="25" t="s">
        <v>598</v>
      </c>
      <c r="E325" s="25" t="s">
        <v>866</v>
      </c>
      <c r="F325" s="26">
        <v>15230228.460000001</v>
      </c>
      <c r="H325" s="50"/>
      <c r="I325" s="15">
        <f t="shared" si="5"/>
        <v>15230228</v>
      </c>
    </row>
    <row r="326" spans="1:9">
      <c r="A326" s="25" t="s">
        <v>867</v>
      </c>
      <c r="B326" s="25" t="s">
        <v>868</v>
      </c>
      <c r="C326" s="25" t="s">
        <v>156</v>
      </c>
      <c r="D326" s="25" t="s">
        <v>598</v>
      </c>
      <c r="E326" s="25" t="s">
        <v>869</v>
      </c>
      <c r="F326" s="26">
        <v>-462248.41</v>
      </c>
      <c r="H326" s="50"/>
      <c r="I326" s="15">
        <f>ROUND(F326,0)+G316+G42+G12+G302+G268+G235+G206+G205+G172+G170+G169+G137+G131+G128+G105+G98+G72+G56+G17+G310+G112</f>
        <v>-775150.56</v>
      </c>
    </row>
    <row r="327" spans="1:9">
      <c r="A327" s="25" t="s">
        <v>870</v>
      </c>
      <c r="B327" s="25" t="s">
        <v>871</v>
      </c>
      <c r="C327" s="25" t="s">
        <v>872</v>
      </c>
      <c r="D327" s="25" t="s">
        <v>157</v>
      </c>
      <c r="E327" s="25" t="s">
        <v>100</v>
      </c>
      <c r="F327" s="26">
        <v>0</v>
      </c>
      <c r="H327" s="50"/>
      <c r="I327" s="48">
        <f t="shared" si="5"/>
        <v>0</v>
      </c>
    </row>
    <row r="328" spans="1:9">
      <c r="A328" s="25" t="s">
        <v>873</v>
      </c>
      <c r="B328" s="25" t="s">
        <v>874</v>
      </c>
      <c r="C328" s="25" t="s">
        <v>872</v>
      </c>
      <c r="D328" s="25" t="s">
        <v>157</v>
      </c>
      <c r="E328" s="25" t="s">
        <v>100</v>
      </c>
      <c r="F328" s="26">
        <v>0</v>
      </c>
      <c r="H328" s="50"/>
      <c r="I328" s="48">
        <f t="shared" si="5"/>
        <v>0</v>
      </c>
    </row>
    <row r="329" spans="1:9">
      <c r="A329" s="25" t="s">
        <v>875</v>
      </c>
      <c r="B329" s="25" t="s">
        <v>876</v>
      </c>
      <c r="C329" s="25" t="s">
        <v>872</v>
      </c>
      <c r="D329" s="25" t="s">
        <v>157</v>
      </c>
      <c r="E329" s="25" t="s">
        <v>100</v>
      </c>
      <c r="F329" s="26">
        <v>0</v>
      </c>
      <c r="H329" s="50"/>
      <c r="I329" s="48">
        <f t="shared" si="5"/>
        <v>0</v>
      </c>
    </row>
    <row r="330" spans="1:9">
      <c r="A330" s="25" t="s">
        <v>877</v>
      </c>
      <c r="B330" s="25" t="s">
        <v>878</v>
      </c>
      <c r="C330" s="25" t="s">
        <v>872</v>
      </c>
      <c r="D330" s="25" t="s">
        <v>162</v>
      </c>
      <c r="E330" s="25" t="s">
        <v>100</v>
      </c>
      <c r="F330" s="26">
        <v>28500000</v>
      </c>
      <c r="H330" s="50"/>
      <c r="I330" s="48">
        <f t="shared" si="5"/>
        <v>28500000</v>
      </c>
    </row>
    <row r="331" spans="1:9">
      <c r="A331" s="25" t="s">
        <v>879</v>
      </c>
      <c r="B331" s="25" t="s">
        <v>880</v>
      </c>
      <c r="C331" s="25" t="s">
        <v>872</v>
      </c>
      <c r="D331" s="25" t="s">
        <v>162</v>
      </c>
      <c r="E331" s="25" t="s">
        <v>100</v>
      </c>
      <c r="F331" s="26">
        <v>20694600</v>
      </c>
      <c r="H331" s="50"/>
      <c r="I331" s="48">
        <f t="shared" si="5"/>
        <v>20694600</v>
      </c>
    </row>
    <row r="332" spans="1:9">
      <c r="A332" s="25" t="s">
        <v>881</v>
      </c>
      <c r="B332" s="25" t="s">
        <v>882</v>
      </c>
      <c r="C332" s="25" t="s">
        <v>872</v>
      </c>
      <c r="D332" s="25" t="s">
        <v>162</v>
      </c>
      <c r="E332" s="25" t="s">
        <v>100</v>
      </c>
      <c r="F332" s="26">
        <v>4050000</v>
      </c>
      <c r="H332" s="50"/>
      <c r="I332" s="48">
        <f t="shared" si="5"/>
        <v>4050000</v>
      </c>
    </row>
    <row r="333" spans="1:9">
      <c r="A333" s="25" t="s">
        <v>883</v>
      </c>
      <c r="B333" s="25" t="s">
        <v>884</v>
      </c>
      <c r="C333" s="25" t="s">
        <v>872</v>
      </c>
      <c r="D333" s="25" t="s">
        <v>162</v>
      </c>
      <c r="E333" s="25" t="s">
        <v>100</v>
      </c>
      <c r="F333" s="26">
        <v>137241</v>
      </c>
      <c r="H333" s="50"/>
      <c r="I333" s="48">
        <f t="shared" si="5"/>
        <v>137241</v>
      </c>
    </row>
    <row r="334" spans="1:9">
      <c r="A334" s="25" t="s">
        <v>885</v>
      </c>
      <c r="B334" s="25" t="s">
        <v>886</v>
      </c>
      <c r="C334" s="25" t="s">
        <v>872</v>
      </c>
      <c r="D334" s="25" t="s">
        <v>162</v>
      </c>
      <c r="E334" s="25" t="s">
        <v>100</v>
      </c>
      <c r="F334" s="26">
        <v>140400</v>
      </c>
      <c r="H334" s="50"/>
      <c r="I334" s="48">
        <f t="shared" si="5"/>
        <v>140400</v>
      </c>
    </row>
    <row r="335" spans="1:9">
      <c r="A335" s="25" t="s">
        <v>887</v>
      </c>
      <c r="B335" s="25" t="s">
        <v>888</v>
      </c>
      <c r="C335" s="25" t="s">
        <v>872</v>
      </c>
      <c r="D335" s="25" t="s">
        <v>162</v>
      </c>
      <c r="E335" s="25" t="s">
        <v>100</v>
      </c>
      <c r="F335" s="26">
        <v>200000</v>
      </c>
      <c r="H335" s="50"/>
      <c r="I335" s="48">
        <f t="shared" si="5"/>
        <v>200000</v>
      </c>
    </row>
    <row r="336" spans="1:9">
      <c r="A336" s="25" t="s">
        <v>889</v>
      </c>
      <c r="B336" s="25" t="s">
        <v>890</v>
      </c>
      <c r="C336" s="25" t="s">
        <v>872</v>
      </c>
      <c r="D336" s="25" t="s">
        <v>169</v>
      </c>
      <c r="E336" s="25" t="s">
        <v>891</v>
      </c>
      <c r="F336" s="26">
        <v>53722241</v>
      </c>
      <c r="H336" s="50"/>
      <c r="I336" s="48">
        <f t="shared" si="5"/>
        <v>53722241</v>
      </c>
    </row>
    <row r="337" spans="1:9">
      <c r="A337" s="25" t="s">
        <v>892</v>
      </c>
      <c r="B337" s="25" t="s">
        <v>893</v>
      </c>
      <c r="C337" s="25" t="s">
        <v>872</v>
      </c>
      <c r="D337" s="25" t="s">
        <v>157</v>
      </c>
      <c r="E337" s="25" t="s">
        <v>100</v>
      </c>
      <c r="F337" s="26">
        <v>0</v>
      </c>
      <c r="H337" s="50"/>
      <c r="I337" s="48">
        <f t="shared" si="5"/>
        <v>0</v>
      </c>
    </row>
    <row r="338" spans="1:9">
      <c r="A338" s="25" t="s">
        <v>894</v>
      </c>
      <c r="B338" s="25" t="s">
        <v>895</v>
      </c>
      <c r="C338" s="25" t="s">
        <v>872</v>
      </c>
      <c r="D338" s="25" t="s">
        <v>162</v>
      </c>
      <c r="E338" s="25" t="s">
        <v>100</v>
      </c>
      <c r="F338" s="26">
        <v>0</v>
      </c>
      <c r="H338" s="50"/>
      <c r="I338" s="48">
        <f t="shared" si="5"/>
        <v>0</v>
      </c>
    </row>
    <row r="339" spans="1:9">
      <c r="A339" s="25" t="s">
        <v>896</v>
      </c>
      <c r="B339" s="25" t="s">
        <v>897</v>
      </c>
      <c r="C339" s="25" t="s">
        <v>872</v>
      </c>
      <c r="D339" s="25" t="s">
        <v>169</v>
      </c>
      <c r="E339" s="25" t="s">
        <v>898</v>
      </c>
      <c r="F339" s="26">
        <v>0</v>
      </c>
      <c r="H339" s="50"/>
      <c r="I339" s="48">
        <f t="shared" si="5"/>
        <v>0</v>
      </c>
    </row>
    <row r="340" spans="1:9">
      <c r="A340" s="25" t="s">
        <v>899</v>
      </c>
      <c r="B340" s="25" t="s">
        <v>900</v>
      </c>
      <c r="C340" s="25" t="s">
        <v>872</v>
      </c>
      <c r="D340" s="25" t="s">
        <v>157</v>
      </c>
      <c r="E340" s="25" t="s">
        <v>100</v>
      </c>
      <c r="F340" s="26">
        <v>0</v>
      </c>
      <c r="H340" s="50"/>
      <c r="I340" s="48">
        <f t="shared" si="5"/>
        <v>0</v>
      </c>
    </row>
    <row r="341" spans="1:9">
      <c r="A341" s="25" t="s">
        <v>901</v>
      </c>
      <c r="B341" s="25" t="s">
        <v>902</v>
      </c>
      <c r="C341" s="25" t="s">
        <v>872</v>
      </c>
      <c r="D341" s="25" t="s">
        <v>162</v>
      </c>
      <c r="E341" s="25" t="s">
        <v>100</v>
      </c>
      <c r="F341" s="26">
        <v>3366400</v>
      </c>
      <c r="H341" s="50"/>
      <c r="I341" s="48">
        <f t="shared" si="5"/>
        <v>3366400</v>
      </c>
    </row>
    <row r="342" spans="1:9">
      <c r="A342" s="25" t="s">
        <v>903</v>
      </c>
      <c r="B342" s="25" t="s">
        <v>2147</v>
      </c>
      <c r="C342" s="25" t="s">
        <v>872</v>
      </c>
      <c r="D342" s="25" t="s">
        <v>162</v>
      </c>
      <c r="E342" s="25" t="s">
        <v>100</v>
      </c>
      <c r="F342" s="26">
        <v>0</v>
      </c>
      <c r="H342" s="50"/>
      <c r="I342" s="48">
        <f t="shared" si="5"/>
        <v>0</v>
      </c>
    </row>
    <row r="343" spans="1:9">
      <c r="A343" s="25" t="s">
        <v>905</v>
      </c>
      <c r="B343" s="25" t="s">
        <v>906</v>
      </c>
      <c r="C343" s="25" t="s">
        <v>872</v>
      </c>
      <c r="D343" s="25" t="s">
        <v>162</v>
      </c>
      <c r="E343" s="25" t="s">
        <v>100</v>
      </c>
      <c r="F343" s="26">
        <v>8250</v>
      </c>
      <c r="H343" s="50"/>
      <c r="I343" s="48">
        <f t="shared" si="5"/>
        <v>8250</v>
      </c>
    </row>
    <row r="344" spans="1:9">
      <c r="A344" s="25" t="s">
        <v>907</v>
      </c>
      <c r="B344" s="25" t="s">
        <v>908</v>
      </c>
      <c r="C344" s="25" t="s">
        <v>872</v>
      </c>
      <c r="D344" s="25" t="s">
        <v>162</v>
      </c>
      <c r="E344" s="25" t="s">
        <v>100</v>
      </c>
      <c r="F344" s="26">
        <v>3822664.5</v>
      </c>
      <c r="H344" s="50">
        <v>79503</v>
      </c>
      <c r="I344" s="48">
        <f>ROUND(F344,0)+G344+H344</f>
        <v>3902168</v>
      </c>
    </row>
    <row r="345" spans="1:9">
      <c r="A345" s="25" t="s">
        <v>909</v>
      </c>
      <c r="B345" s="25" t="s">
        <v>910</v>
      </c>
      <c r="C345" s="25" t="s">
        <v>872</v>
      </c>
      <c r="D345" s="25" t="s">
        <v>162</v>
      </c>
      <c r="E345" s="25" t="s">
        <v>100</v>
      </c>
      <c r="F345" s="26">
        <v>104062.5</v>
      </c>
      <c r="H345" s="50">
        <v>-20165</v>
      </c>
      <c r="I345" s="48">
        <f>+F345+G345+H345</f>
        <v>83897.5</v>
      </c>
    </row>
    <row r="346" spans="1:9">
      <c r="A346" s="25" t="s">
        <v>913</v>
      </c>
      <c r="B346" s="25" t="s">
        <v>914</v>
      </c>
      <c r="C346" s="25" t="s">
        <v>872</v>
      </c>
      <c r="D346" s="25" t="s">
        <v>169</v>
      </c>
      <c r="E346" s="25" t="s">
        <v>915</v>
      </c>
      <c r="F346" s="26">
        <v>7301377</v>
      </c>
      <c r="H346" s="50"/>
      <c r="I346" s="48">
        <f t="shared" si="5"/>
        <v>7301377</v>
      </c>
    </row>
    <row r="347" spans="1:9">
      <c r="A347" s="25" t="s">
        <v>916</v>
      </c>
      <c r="B347" s="25" t="s">
        <v>917</v>
      </c>
      <c r="C347" s="25" t="s">
        <v>872</v>
      </c>
      <c r="D347" s="25" t="s">
        <v>169</v>
      </c>
      <c r="E347" s="25" t="s">
        <v>918</v>
      </c>
      <c r="F347" s="26">
        <v>61023618</v>
      </c>
      <c r="H347" s="50"/>
      <c r="I347" s="48">
        <f t="shared" si="5"/>
        <v>61023618</v>
      </c>
    </row>
    <row r="348" spans="1:9">
      <c r="A348" s="25" t="s">
        <v>919</v>
      </c>
      <c r="B348" s="25" t="s">
        <v>920</v>
      </c>
      <c r="C348" s="25" t="s">
        <v>872</v>
      </c>
      <c r="D348" s="25" t="s">
        <v>157</v>
      </c>
      <c r="E348" s="25" t="s">
        <v>100</v>
      </c>
      <c r="F348" s="26">
        <v>0</v>
      </c>
      <c r="H348" s="50"/>
      <c r="I348" s="48">
        <f t="shared" si="5"/>
        <v>0</v>
      </c>
    </row>
    <row r="349" spans="1:9">
      <c r="A349" s="25" t="s">
        <v>921</v>
      </c>
      <c r="B349" s="25" t="s">
        <v>922</v>
      </c>
      <c r="C349" s="25" t="s">
        <v>872</v>
      </c>
      <c r="D349" s="25" t="s">
        <v>157</v>
      </c>
      <c r="E349" s="25" t="s">
        <v>100</v>
      </c>
      <c r="F349" s="26">
        <v>0</v>
      </c>
      <c r="H349" s="50"/>
      <c r="I349" s="48">
        <f t="shared" si="5"/>
        <v>0</v>
      </c>
    </row>
    <row r="350" spans="1:9">
      <c r="A350" s="25" t="s">
        <v>923</v>
      </c>
      <c r="B350" s="25" t="s">
        <v>924</v>
      </c>
      <c r="C350" s="25" t="s">
        <v>872</v>
      </c>
      <c r="D350" s="25" t="s">
        <v>162</v>
      </c>
      <c r="E350" s="25" t="s">
        <v>100</v>
      </c>
      <c r="F350" s="26">
        <v>416102.59</v>
      </c>
      <c r="G350" s="3">
        <f>70812.54+305.8+806.66+16000</f>
        <v>87925</v>
      </c>
      <c r="H350" s="50"/>
      <c r="I350" s="15">
        <f>ROUND(F350,0)+G350</f>
        <v>504028</v>
      </c>
    </row>
    <row r="351" spans="1:9">
      <c r="A351" s="25" t="s">
        <v>925</v>
      </c>
      <c r="B351" s="25" t="s">
        <v>926</v>
      </c>
      <c r="C351" s="25" t="s">
        <v>872</v>
      </c>
      <c r="D351" s="25" t="s">
        <v>162</v>
      </c>
      <c r="E351" s="25" t="s">
        <v>100</v>
      </c>
      <c r="F351" s="26">
        <v>0</v>
      </c>
      <c r="H351" s="50"/>
      <c r="I351" s="48">
        <f t="shared" si="5"/>
        <v>0</v>
      </c>
    </row>
    <row r="352" spans="1:9">
      <c r="A352" s="25" t="s">
        <v>927</v>
      </c>
      <c r="B352" s="25" t="s">
        <v>928</v>
      </c>
      <c r="C352" s="25" t="s">
        <v>872</v>
      </c>
      <c r="D352" s="25" t="s">
        <v>162</v>
      </c>
      <c r="E352" s="25" t="s">
        <v>100</v>
      </c>
      <c r="F352" s="26">
        <v>0</v>
      </c>
      <c r="H352" s="50"/>
      <c r="I352" s="48">
        <f t="shared" si="5"/>
        <v>0</v>
      </c>
    </row>
    <row r="353" spans="1:9">
      <c r="A353" s="25" t="s">
        <v>929</v>
      </c>
      <c r="B353" s="25" t="s">
        <v>930</v>
      </c>
      <c r="C353" s="25" t="s">
        <v>872</v>
      </c>
      <c r="D353" s="25" t="s">
        <v>162</v>
      </c>
      <c r="E353" s="25" t="s">
        <v>100</v>
      </c>
      <c r="F353" s="26">
        <v>0</v>
      </c>
      <c r="H353" s="50"/>
      <c r="I353" s="48">
        <f t="shared" si="5"/>
        <v>0</v>
      </c>
    </row>
    <row r="354" spans="1:9">
      <c r="A354" s="25" t="s">
        <v>931</v>
      </c>
      <c r="B354" s="25" t="s">
        <v>932</v>
      </c>
      <c r="C354" s="25" t="s">
        <v>872</v>
      </c>
      <c r="D354" s="25" t="s">
        <v>162</v>
      </c>
      <c r="E354" s="25" t="s">
        <v>100</v>
      </c>
      <c r="F354" s="26">
        <v>277771.94</v>
      </c>
      <c r="H354" s="50"/>
      <c r="I354" s="15">
        <f t="shared" si="5"/>
        <v>277772</v>
      </c>
    </row>
    <row r="355" spans="1:9">
      <c r="A355" s="25" t="s">
        <v>2278</v>
      </c>
      <c r="B355" s="25" t="s">
        <v>2279</v>
      </c>
      <c r="C355" s="25" t="s">
        <v>872</v>
      </c>
      <c r="D355" s="25" t="s">
        <v>162</v>
      </c>
      <c r="E355" s="25" t="s">
        <v>100</v>
      </c>
      <c r="F355" s="26">
        <v>0</v>
      </c>
      <c r="H355" s="50"/>
      <c r="I355" s="48">
        <f t="shared" si="5"/>
        <v>0</v>
      </c>
    </row>
    <row r="356" spans="1:9">
      <c r="A356" s="25" t="s">
        <v>933</v>
      </c>
      <c r="B356" s="25" t="s">
        <v>934</v>
      </c>
      <c r="C356" s="25" t="s">
        <v>872</v>
      </c>
      <c r="D356" s="25" t="s">
        <v>162</v>
      </c>
      <c r="E356" s="25" t="s">
        <v>100</v>
      </c>
      <c r="F356" s="26">
        <v>0</v>
      </c>
      <c r="H356" s="50"/>
      <c r="I356" s="48">
        <f t="shared" si="5"/>
        <v>0</v>
      </c>
    </row>
    <row r="357" spans="1:9">
      <c r="A357" s="25" t="s">
        <v>2202</v>
      </c>
      <c r="B357" s="25" t="s">
        <v>2203</v>
      </c>
      <c r="C357" s="25" t="s">
        <v>872</v>
      </c>
      <c r="D357" s="25" t="s">
        <v>162</v>
      </c>
      <c r="E357" s="25" t="s">
        <v>100</v>
      </c>
      <c r="F357" s="26">
        <v>-49604.12</v>
      </c>
      <c r="H357" s="50"/>
      <c r="I357" s="48">
        <f t="shared" si="5"/>
        <v>-49604</v>
      </c>
    </row>
    <row r="358" spans="1:9">
      <c r="A358" s="25" t="s">
        <v>935</v>
      </c>
      <c r="B358" s="25" t="s">
        <v>2171</v>
      </c>
      <c r="C358" s="25" t="s">
        <v>872</v>
      </c>
      <c r="D358" s="25" t="s">
        <v>162</v>
      </c>
      <c r="E358" s="25" t="s">
        <v>100</v>
      </c>
      <c r="F358" s="26">
        <v>0</v>
      </c>
      <c r="H358" s="50"/>
      <c r="I358" s="48">
        <f t="shared" si="5"/>
        <v>0</v>
      </c>
    </row>
    <row r="359" spans="1:9">
      <c r="A359" s="25" t="s">
        <v>937</v>
      </c>
      <c r="B359" s="25" t="s">
        <v>938</v>
      </c>
      <c r="C359" s="25" t="s">
        <v>872</v>
      </c>
      <c r="D359" s="25" t="s">
        <v>169</v>
      </c>
      <c r="E359" s="25" t="s">
        <v>939</v>
      </c>
      <c r="F359" s="26">
        <v>644270.41</v>
      </c>
      <c r="H359" s="50"/>
      <c r="I359" s="15">
        <f>ROUND(F359,0)</f>
        <v>644270</v>
      </c>
    </row>
    <row r="360" spans="1:9">
      <c r="A360" s="25" t="s">
        <v>940</v>
      </c>
      <c r="B360" s="25" t="s">
        <v>941</v>
      </c>
      <c r="C360" s="25" t="s">
        <v>872</v>
      </c>
      <c r="D360" s="25" t="s">
        <v>157</v>
      </c>
      <c r="E360" s="25" t="s">
        <v>100</v>
      </c>
      <c r="F360" s="26">
        <v>0</v>
      </c>
      <c r="H360" s="50"/>
      <c r="I360" s="48">
        <f t="shared" si="5"/>
        <v>0</v>
      </c>
    </row>
    <row r="361" spans="1:9">
      <c r="A361" s="25" t="s">
        <v>942</v>
      </c>
      <c r="B361" s="25" t="s">
        <v>943</v>
      </c>
      <c r="C361" s="25" t="s">
        <v>872</v>
      </c>
      <c r="D361" s="25" t="s">
        <v>162</v>
      </c>
      <c r="E361" s="25" t="s">
        <v>100</v>
      </c>
      <c r="F361" s="26">
        <v>25000</v>
      </c>
      <c r="H361" s="50"/>
      <c r="I361" s="48">
        <f t="shared" si="5"/>
        <v>25000</v>
      </c>
    </row>
    <row r="362" spans="1:9">
      <c r="A362" s="25" t="s">
        <v>944</v>
      </c>
      <c r="B362" s="25" t="s">
        <v>2204</v>
      </c>
      <c r="C362" s="25" t="s">
        <v>872</v>
      </c>
      <c r="D362" s="25" t="s">
        <v>162</v>
      </c>
      <c r="E362" s="25" t="s">
        <v>100</v>
      </c>
      <c r="F362" s="26">
        <v>0</v>
      </c>
      <c r="H362" s="50"/>
      <c r="I362" s="48">
        <f t="shared" si="5"/>
        <v>0</v>
      </c>
    </row>
    <row r="363" spans="1:9">
      <c r="A363" s="25" t="s">
        <v>946</v>
      </c>
      <c r="B363" s="25" t="s">
        <v>947</v>
      </c>
      <c r="C363" s="25" t="s">
        <v>872</v>
      </c>
      <c r="D363" s="25" t="s">
        <v>162</v>
      </c>
      <c r="E363" s="25" t="s">
        <v>100</v>
      </c>
      <c r="F363" s="26">
        <v>0</v>
      </c>
      <c r="H363" s="50"/>
      <c r="I363" s="48">
        <f t="shared" si="5"/>
        <v>0</v>
      </c>
    </row>
    <row r="364" spans="1:9">
      <c r="A364" s="25" t="s">
        <v>948</v>
      </c>
      <c r="B364" s="25" t="s">
        <v>949</v>
      </c>
      <c r="C364" s="25" t="s">
        <v>872</v>
      </c>
      <c r="D364" s="25" t="s">
        <v>162</v>
      </c>
      <c r="E364" s="25" t="s">
        <v>100</v>
      </c>
      <c r="F364" s="26">
        <v>12000</v>
      </c>
      <c r="H364" s="50"/>
      <c r="I364" s="48">
        <f t="shared" si="5"/>
        <v>12000</v>
      </c>
    </row>
    <row r="365" spans="1:9">
      <c r="A365" s="25" t="s">
        <v>950</v>
      </c>
      <c r="B365" s="25" t="s">
        <v>951</v>
      </c>
      <c r="C365" s="25" t="s">
        <v>872</v>
      </c>
      <c r="D365" s="25" t="s">
        <v>162</v>
      </c>
      <c r="E365" s="25" t="s">
        <v>100</v>
      </c>
      <c r="F365" s="26">
        <v>3000</v>
      </c>
      <c r="H365" s="50"/>
      <c r="I365" s="48">
        <f t="shared" si="5"/>
        <v>3000</v>
      </c>
    </row>
    <row r="366" spans="1:9">
      <c r="A366" s="25" t="s">
        <v>952</v>
      </c>
      <c r="B366" s="25" t="s">
        <v>953</v>
      </c>
      <c r="C366" s="25" t="s">
        <v>872</v>
      </c>
      <c r="D366" s="25" t="s">
        <v>169</v>
      </c>
      <c r="E366" s="25" t="s">
        <v>954</v>
      </c>
      <c r="F366" s="26">
        <v>40000</v>
      </c>
      <c r="H366" s="50"/>
      <c r="I366" s="48">
        <f t="shared" si="5"/>
        <v>40000</v>
      </c>
    </row>
    <row r="367" spans="1:9">
      <c r="A367" s="25" t="s">
        <v>955</v>
      </c>
      <c r="B367" s="25" t="s">
        <v>956</v>
      </c>
      <c r="C367" s="25" t="s">
        <v>872</v>
      </c>
      <c r="D367" s="25" t="s">
        <v>157</v>
      </c>
      <c r="E367" s="25" t="s">
        <v>100</v>
      </c>
      <c r="F367" s="26">
        <v>0</v>
      </c>
      <c r="H367" s="50"/>
      <c r="I367" s="48">
        <f t="shared" si="5"/>
        <v>0</v>
      </c>
    </row>
    <row r="368" spans="1:9">
      <c r="A368" s="25" t="s">
        <v>957</v>
      </c>
      <c r="B368" s="25" t="s">
        <v>958</v>
      </c>
      <c r="C368" s="25" t="s">
        <v>872</v>
      </c>
      <c r="D368" s="25" t="s">
        <v>162</v>
      </c>
      <c r="E368" s="25" t="s">
        <v>100</v>
      </c>
      <c r="F368" s="26">
        <v>-5589.26</v>
      </c>
      <c r="H368" s="50"/>
      <c r="I368" s="48">
        <f t="shared" si="5"/>
        <v>-5589</v>
      </c>
    </row>
    <row r="369" spans="1:9">
      <c r="A369" s="25" t="s">
        <v>959</v>
      </c>
      <c r="B369" s="25" t="s">
        <v>960</v>
      </c>
      <c r="C369" s="25" t="s">
        <v>872</v>
      </c>
      <c r="D369" s="25" t="s">
        <v>162</v>
      </c>
      <c r="E369" s="25" t="s">
        <v>100</v>
      </c>
      <c r="F369" s="26">
        <v>931928.28</v>
      </c>
      <c r="H369" s="50">
        <v>147598.66</v>
      </c>
      <c r="I369" s="48">
        <f>ROUND(F369,0)+H369</f>
        <v>1079526.6599999999</v>
      </c>
    </row>
    <row r="370" spans="1:9">
      <c r="A370" s="25" t="s">
        <v>961</v>
      </c>
      <c r="B370" s="25" t="s">
        <v>962</v>
      </c>
      <c r="C370" s="25" t="s">
        <v>872</v>
      </c>
      <c r="D370" s="25" t="s">
        <v>162</v>
      </c>
      <c r="E370" s="25" t="s">
        <v>100</v>
      </c>
      <c r="F370" s="26">
        <v>159453</v>
      </c>
      <c r="H370" s="50"/>
      <c r="I370" s="48">
        <f t="shared" si="5"/>
        <v>159453</v>
      </c>
    </row>
    <row r="371" spans="1:9">
      <c r="A371" s="25" t="s">
        <v>963</v>
      </c>
      <c r="B371" s="25" t="s">
        <v>964</v>
      </c>
      <c r="C371" s="25" t="s">
        <v>872</v>
      </c>
      <c r="D371" s="25" t="s">
        <v>162</v>
      </c>
      <c r="E371" s="25" t="s">
        <v>100</v>
      </c>
      <c r="F371" s="26">
        <v>0</v>
      </c>
      <c r="H371" s="50"/>
      <c r="I371" s="48">
        <f t="shared" si="5"/>
        <v>0</v>
      </c>
    </row>
    <row r="372" spans="1:9">
      <c r="A372" s="25" t="s">
        <v>965</v>
      </c>
      <c r="B372" s="25" t="s">
        <v>966</v>
      </c>
      <c r="C372" s="25" t="s">
        <v>872</v>
      </c>
      <c r="D372" s="25" t="s">
        <v>169</v>
      </c>
      <c r="E372" s="25" t="s">
        <v>967</v>
      </c>
      <c r="F372" s="26">
        <v>1085792.02</v>
      </c>
      <c r="H372" s="50"/>
      <c r="I372" s="48">
        <f t="shared" si="5"/>
        <v>1085792</v>
      </c>
    </row>
    <row r="373" spans="1:9">
      <c r="A373" s="25" t="s">
        <v>968</v>
      </c>
      <c r="B373" s="25" t="s">
        <v>938</v>
      </c>
      <c r="C373" s="25" t="s">
        <v>872</v>
      </c>
      <c r="D373" s="25" t="s">
        <v>169</v>
      </c>
      <c r="E373" s="25" t="s">
        <v>969</v>
      </c>
      <c r="F373" s="26">
        <v>1770062.43</v>
      </c>
      <c r="H373" s="50"/>
      <c r="I373" s="48">
        <f t="shared" si="5"/>
        <v>1770062</v>
      </c>
    </row>
    <row r="374" spans="1:9">
      <c r="A374" s="25" t="s">
        <v>970</v>
      </c>
      <c r="B374" s="25" t="s">
        <v>971</v>
      </c>
      <c r="C374" s="25" t="s">
        <v>872</v>
      </c>
      <c r="D374" s="25" t="s">
        <v>157</v>
      </c>
      <c r="E374" s="25" t="s">
        <v>100</v>
      </c>
      <c r="F374" s="26">
        <v>0</v>
      </c>
      <c r="H374" s="50"/>
      <c r="I374" s="48">
        <f t="shared" si="5"/>
        <v>0</v>
      </c>
    </row>
    <row r="375" spans="1:9">
      <c r="A375" s="25" t="s">
        <v>972</v>
      </c>
      <c r="B375" s="25" t="s">
        <v>973</v>
      </c>
      <c r="C375" s="25" t="s">
        <v>872</v>
      </c>
      <c r="D375" s="25" t="s">
        <v>162</v>
      </c>
      <c r="E375" s="25" t="s">
        <v>100</v>
      </c>
      <c r="F375" s="26">
        <v>3852230.72</v>
      </c>
      <c r="H375" s="50"/>
      <c r="I375" s="48">
        <f t="shared" si="5"/>
        <v>3852231</v>
      </c>
    </row>
    <row r="376" spans="1:9">
      <c r="A376" s="25" t="s">
        <v>974</v>
      </c>
      <c r="B376" s="25" t="s">
        <v>928</v>
      </c>
      <c r="C376" s="25" t="s">
        <v>872</v>
      </c>
      <c r="D376" s="25" t="s">
        <v>162</v>
      </c>
      <c r="E376" s="25" t="s">
        <v>100</v>
      </c>
      <c r="F376" s="26">
        <v>0</v>
      </c>
      <c r="H376" s="50"/>
      <c r="I376" s="48">
        <f t="shared" si="5"/>
        <v>0</v>
      </c>
    </row>
    <row r="377" spans="1:9">
      <c r="A377" s="25" t="s">
        <v>976</v>
      </c>
      <c r="B377" s="25" t="s">
        <v>2280</v>
      </c>
      <c r="C377" s="25" t="s">
        <v>872</v>
      </c>
      <c r="D377" s="25" t="s">
        <v>162</v>
      </c>
      <c r="E377" s="25" t="s">
        <v>100</v>
      </c>
      <c r="F377" s="26">
        <v>0</v>
      </c>
      <c r="H377" s="50"/>
      <c r="I377" s="48">
        <f t="shared" si="5"/>
        <v>0</v>
      </c>
    </row>
    <row r="378" spans="1:9">
      <c r="A378" s="25" t="s">
        <v>978</v>
      </c>
      <c r="B378" s="25" t="s">
        <v>979</v>
      </c>
      <c r="C378" s="25" t="s">
        <v>872</v>
      </c>
      <c r="D378" s="25" t="s">
        <v>162</v>
      </c>
      <c r="E378" s="25" t="s">
        <v>100</v>
      </c>
      <c r="F378" s="26">
        <v>2962.34</v>
      </c>
      <c r="H378" s="50"/>
      <c r="I378" s="48">
        <f t="shared" si="5"/>
        <v>2962</v>
      </c>
    </row>
    <row r="379" spans="1:9">
      <c r="A379" s="25" t="s">
        <v>980</v>
      </c>
      <c r="B379" s="25" t="s">
        <v>981</v>
      </c>
      <c r="C379" s="25" t="s">
        <v>872</v>
      </c>
      <c r="D379" s="25" t="s">
        <v>162</v>
      </c>
      <c r="E379" s="25" t="s">
        <v>100</v>
      </c>
      <c r="F379" s="26">
        <v>-40833.050000000003</v>
      </c>
      <c r="H379" s="50"/>
      <c r="I379" s="48">
        <f t="shared" si="5"/>
        <v>-40833</v>
      </c>
    </row>
    <row r="380" spans="1:9">
      <c r="A380" s="25" t="s">
        <v>982</v>
      </c>
      <c r="B380" s="25" t="s">
        <v>983</v>
      </c>
      <c r="C380" s="25" t="s">
        <v>872</v>
      </c>
      <c r="D380" s="25" t="s">
        <v>162</v>
      </c>
      <c r="E380" s="25" t="s">
        <v>100</v>
      </c>
      <c r="F380" s="26">
        <v>34204.94</v>
      </c>
      <c r="H380" s="50"/>
      <c r="I380" s="48">
        <f t="shared" si="5"/>
        <v>34205</v>
      </c>
    </row>
    <row r="381" spans="1:9">
      <c r="A381" s="25" t="s">
        <v>984</v>
      </c>
      <c r="B381" s="25" t="s">
        <v>985</v>
      </c>
      <c r="C381" s="25" t="s">
        <v>872</v>
      </c>
      <c r="D381" s="25" t="s">
        <v>162</v>
      </c>
      <c r="E381" s="25" t="s">
        <v>100</v>
      </c>
      <c r="F381" s="26">
        <v>380.38</v>
      </c>
      <c r="H381" s="50"/>
      <c r="I381" s="48">
        <f t="shared" si="5"/>
        <v>380</v>
      </c>
    </row>
    <row r="382" spans="1:9">
      <c r="A382" s="25" t="s">
        <v>986</v>
      </c>
      <c r="B382" s="25" t="s">
        <v>987</v>
      </c>
      <c r="C382" s="25" t="s">
        <v>872</v>
      </c>
      <c r="D382" s="25" t="s">
        <v>162</v>
      </c>
      <c r="E382" s="25" t="s">
        <v>100</v>
      </c>
      <c r="F382" s="26">
        <v>5958</v>
      </c>
      <c r="H382" s="50"/>
      <c r="I382" s="48">
        <f t="shared" si="5"/>
        <v>5958</v>
      </c>
    </row>
    <row r="383" spans="1:9">
      <c r="A383" s="25" t="s">
        <v>988</v>
      </c>
      <c r="B383" s="25" t="s">
        <v>2281</v>
      </c>
      <c r="C383" s="25" t="s">
        <v>872</v>
      </c>
      <c r="D383" s="25" t="s">
        <v>162</v>
      </c>
      <c r="E383" s="25" t="s">
        <v>100</v>
      </c>
      <c r="F383" s="26">
        <v>0</v>
      </c>
      <c r="H383" s="50"/>
      <c r="I383" s="48">
        <f t="shared" si="5"/>
        <v>0</v>
      </c>
    </row>
    <row r="384" spans="1:9">
      <c r="A384" s="25" t="s">
        <v>990</v>
      </c>
      <c r="B384" s="25" t="s">
        <v>2282</v>
      </c>
      <c r="C384" s="25" t="s">
        <v>872</v>
      </c>
      <c r="D384" s="25" t="s">
        <v>162</v>
      </c>
      <c r="E384" s="25" t="s">
        <v>100</v>
      </c>
      <c r="F384" s="26">
        <v>0</v>
      </c>
      <c r="H384" s="50"/>
      <c r="I384" s="48">
        <f t="shared" si="5"/>
        <v>0</v>
      </c>
    </row>
    <row r="385" spans="1:12">
      <c r="A385" s="25" t="s">
        <v>992</v>
      </c>
      <c r="B385" s="25" t="s">
        <v>993</v>
      </c>
      <c r="C385" s="25" t="s">
        <v>872</v>
      </c>
      <c r="D385" s="25" t="s">
        <v>162</v>
      </c>
      <c r="E385" s="25" t="s">
        <v>100</v>
      </c>
      <c r="F385" s="26">
        <v>1275</v>
      </c>
      <c r="H385" s="50"/>
      <c r="I385" s="48">
        <f t="shared" si="5"/>
        <v>1275</v>
      </c>
    </row>
    <row r="386" spans="1:12">
      <c r="A386" s="25" t="s">
        <v>1002</v>
      </c>
      <c r="B386" s="25" t="s">
        <v>1003</v>
      </c>
      <c r="C386" s="25" t="s">
        <v>872</v>
      </c>
      <c r="D386" s="25" t="s">
        <v>169</v>
      </c>
      <c r="E386" s="25" t="s">
        <v>1004</v>
      </c>
      <c r="F386" s="26">
        <v>3856178.33</v>
      </c>
      <c r="H386" s="50"/>
      <c r="I386" s="48">
        <f t="shared" si="5"/>
        <v>3856178</v>
      </c>
    </row>
    <row r="387" spans="1:12">
      <c r="A387" s="25" t="s">
        <v>1005</v>
      </c>
      <c r="B387" s="25" t="s">
        <v>1006</v>
      </c>
      <c r="C387" s="25" t="s">
        <v>872</v>
      </c>
      <c r="D387" s="25" t="s">
        <v>169</v>
      </c>
      <c r="E387" s="25" t="s">
        <v>1007</v>
      </c>
      <c r="F387" s="26">
        <v>66649858.759999998</v>
      </c>
      <c r="H387" s="50"/>
      <c r="I387" s="48">
        <f t="shared" si="5"/>
        <v>66649859</v>
      </c>
      <c r="L387" s="3">
        <f>+I387-I357+I596+I576+G350</f>
        <v>66926304</v>
      </c>
    </row>
    <row r="388" spans="1:12">
      <c r="A388" s="25" t="s">
        <v>1008</v>
      </c>
      <c r="B388" s="25" t="s">
        <v>1009</v>
      </c>
      <c r="C388" s="25" t="s">
        <v>872</v>
      </c>
      <c r="D388" s="25" t="s">
        <v>157</v>
      </c>
      <c r="E388" s="25" t="s">
        <v>100</v>
      </c>
      <c r="F388" s="26">
        <v>0</v>
      </c>
      <c r="H388" s="50"/>
      <c r="I388" s="48">
        <f t="shared" ref="I388:I451" si="6">ROUND(F388,0)</f>
        <v>0</v>
      </c>
    </row>
    <row r="389" spans="1:12">
      <c r="A389" s="25" t="s">
        <v>1010</v>
      </c>
      <c r="B389" s="25" t="s">
        <v>1011</v>
      </c>
      <c r="C389" s="25" t="s">
        <v>872</v>
      </c>
      <c r="D389" s="25" t="s">
        <v>157</v>
      </c>
      <c r="E389" s="25" t="s">
        <v>100</v>
      </c>
      <c r="F389" s="26">
        <v>0</v>
      </c>
      <c r="H389" s="50"/>
      <c r="I389" s="48">
        <f t="shared" si="6"/>
        <v>0</v>
      </c>
    </row>
    <row r="390" spans="1:12">
      <c r="A390" s="25" t="s">
        <v>1012</v>
      </c>
      <c r="B390" s="25" t="s">
        <v>1013</v>
      </c>
      <c r="C390" s="25" t="s">
        <v>872</v>
      </c>
      <c r="D390" s="25" t="s">
        <v>157</v>
      </c>
      <c r="E390" s="25" t="s">
        <v>100</v>
      </c>
      <c r="F390" s="26">
        <v>0</v>
      </c>
      <c r="H390" s="50"/>
      <c r="I390" s="48">
        <f t="shared" si="6"/>
        <v>0</v>
      </c>
    </row>
    <row r="391" spans="1:12">
      <c r="A391" s="25" t="s">
        <v>1014</v>
      </c>
      <c r="B391" s="25" t="s">
        <v>1015</v>
      </c>
      <c r="C391" s="25" t="s">
        <v>872</v>
      </c>
      <c r="D391" s="25" t="s">
        <v>162</v>
      </c>
      <c r="E391" s="25" t="s">
        <v>100</v>
      </c>
      <c r="F391" s="26">
        <v>-21558568.890000001</v>
      </c>
      <c r="G391" s="3">
        <v>-390000</v>
      </c>
      <c r="H391" s="50"/>
      <c r="I391" s="48">
        <f>ROUND(F391,0)+G391</f>
        <v>-21948569</v>
      </c>
    </row>
    <row r="392" spans="1:12">
      <c r="A392" s="25" t="s">
        <v>1016</v>
      </c>
      <c r="B392" s="25" t="s">
        <v>106</v>
      </c>
      <c r="C392" s="25" t="s">
        <v>872</v>
      </c>
      <c r="D392" s="25" t="s">
        <v>598</v>
      </c>
      <c r="E392" s="25" t="s">
        <v>869</v>
      </c>
      <c r="F392" s="26">
        <v>-462248.41</v>
      </c>
      <c r="H392" s="50">
        <v>59338</v>
      </c>
      <c r="I392" s="48">
        <f>ROUND(F392,0)+J392</f>
        <v>-748773.01</v>
      </c>
      <c r="J392" s="3">
        <f>SUM(G3:G326)+H28+H172+H234</f>
        <v>-286525.01</v>
      </c>
    </row>
    <row r="393" spans="1:12">
      <c r="A393" s="25" t="s">
        <v>1017</v>
      </c>
      <c r="B393" s="25" t="s">
        <v>1022</v>
      </c>
      <c r="C393" s="25" t="s">
        <v>872</v>
      </c>
      <c r="D393" s="25" t="s">
        <v>162</v>
      </c>
      <c r="E393" s="25" t="s">
        <v>100</v>
      </c>
      <c r="F393" s="26">
        <v>-19352186.149999999</v>
      </c>
      <c r="H393" s="50"/>
      <c r="I393" s="48">
        <f t="shared" si="6"/>
        <v>-19352186</v>
      </c>
    </row>
    <row r="394" spans="1:12">
      <c r="A394" s="25" t="s">
        <v>1019</v>
      </c>
      <c r="B394" s="25" t="s">
        <v>1020</v>
      </c>
      <c r="C394" s="25" t="s">
        <v>872</v>
      </c>
      <c r="D394" s="25" t="s">
        <v>162</v>
      </c>
      <c r="E394" s="25" t="s">
        <v>100</v>
      </c>
      <c r="F394" s="26">
        <v>527309.25</v>
      </c>
      <c r="H394" s="50"/>
      <c r="I394" s="48">
        <f t="shared" si="6"/>
        <v>527309</v>
      </c>
    </row>
    <row r="395" spans="1:12">
      <c r="A395" s="25" t="s">
        <v>1021</v>
      </c>
      <c r="B395" s="25" t="s">
        <v>1018</v>
      </c>
      <c r="C395" s="25" t="s">
        <v>872</v>
      </c>
      <c r="D395" s="25" t="s">
        <v>162</v>
      </c>
      <c r="E395" s="25" t="s">
        <v>100</v>
      </c>
      <c r="F395" s="26">
        <v>-2681550</v>
      </c>
      <c r="H395" s="50"/>
      <c r="I395" s="48">
        <f t="shared" si="6"/>
        <v>-2681550</v>
      </c>
    </row>
    <row r="396" spans="1:12">
      <c r="A396" s="25" t="s">
        <v>1023</v>
      </c>
      <c r="B396" s="25" t="s">
        <v>1024</v>
      </c>
      <c r="C396" s="25" t="s">
        <v>872</v>
      </c>
      <c r="D396" s="25" t="s">
        <v>162</v>
      </c>
      <c r="E396" s="25" t="s">
        <v>100</v>
      </c>
      <c r="F396" s="26">
        <v>-1844767.5</v>
      </c>
      <c r="G396" s="3">
        <f>390000</f>
        <v>390000</v>
      </c>
      <c r="H396" s="50">
        <v>-59338</v>
      </c>
      <c r="I396" s="48">
        <f>ROUND(F396,0)+G396+H396</f>
        <v>-1514106</v>
      </c>
    </row>
    <row r="397" spans="1:12">
      <c r="A397" s="25" t="s">
        <v>1025</v>
      </c>
      <c r="B397" s="25" t="s">
        <v>1026</v>
      </c>
      <c r="C397" s="25" t="s">
        <v>872</v>
      </c>
      <c r="D397" s="25" t="s">
        <v>169</v>
      </c>
      <c r="E397" s="25" t="s">
        <v>1027</v>
      </c>
      <c r="F397" s="26">
        <v>-44909763.289999999</v>
      </c>
      <c r="H397" s="50"/>
      <c r="I397" s="48">
        <f t="shared" si="6"/>
        <v>-44909763</v>
      </c>
    </row>
    <row r="398" spans="1:12">
      <c r="A398" s="25" t="s">
        <v>1028</v>
      </c>
      <c r="B398" s="25" t="s">
        <v>1029</v>
      </c>
      <c r="C398" s="25" t="s">
        <v>872</v>
      </c>
      <c r="D398" s="25" t="s">
        <v>157</v>
      </c>
      <c r="E398" s="25" t="s">
        <v>100</v>
      </c>
      <c r="F398" s="26">
        <v>0</v>
      </c>
      <c r="H398" s="50"/>
      <c r="I398" s="48">
        <f t="shared" si="6"/>
        <v>0</v>
      </c>
    </row>
    <row r="399" spans="1:12">
      <c r="A399" s="25" t="s">
        <v>1030</v>
      </c>
      <c r="B399" s="25" t="s">
        <v>1031</v>
      </c>
      <c r="C399" s="25" t="s">
        <v>872</v>
      </c>
      <c r="D399" s="25" t="s">
        <v>162</v>
      </c>
      <c r="E399" s="25" t="s">
        <v>100</v>
      </c>
      <c r="F399" s="26">
        <v>-14197959.18</v>
      </c>
      <c r="H399" s="50"/>
      <c r="I399" s="48">
        <f t="shared" si="6"/>
        <v>-14197959</v>
      </c>
    </row>
    <row r="400" spans="1:12">
      <c r="A400" s="25" t="s">
        <v>1032</v>
      </c>
      <c r="B400" s="25" t="s">
        <v>1033</v>
      </c>
      <c r="C400" s="25" t="s">
        <v>872</v>
      </c>
      <c r="D400" s="25" t="s">
        <v>162</v>
      </c>
      <c r="E400" s="25" t="s">
        <v>100</v>
      </c>
      <c r="F400" s="26">
        <v>-68985.02</v>
      </c>
      <c r="H400" s="50"/>
      <c r="I400" s="48">
        <f t="shared" si="6"/>
        <v>-68985</v>
      </c>
    </row>
    <row r="401" spans="1:9">
      <c r="A401" s="25" t="s">
        <v>1034</v>
      </c>
      <c r="B401" s="25" t="s">
        <v>1035</v>
      </c>
      <c r="C401" s="25" t="s">
        <v>872</v>
      </c>
      <c r="D401" s="25" t="s">
        <v>162</v>
      </c>
      <c r="E401" s="25" t="s">
        <v>100</v>
      </c>
      <c r="F401" s="26">
        <v>952345</v>
      </c>
      <c r="H401" s="50"/>
      <c r="I401" s="48">
        <f t="shared" si="6"/>
        <v>952345</v>
      </c>
    </row>
    <row r="402" spans="1:9">
      <c r="A402" s="25" t="s">
        <v>1036</v>
      </c>
      <c r="B402" s="25" t="s">
        <v>1037</v>
      </c>
      <c r="C402" s="25" t="s">
        <v>872</v>
      </c>
      <c r="D402" s="25" t="s">
        <v>162</v>
      </c>
      <c r="E402" s="25" t="s">
        <v>100</v>
      </c>
      <c r="F402" s="26">
        <v>7510253</v>
      </c>
      <c r="H402" s="50"/>
      <c r="I402" s="48">
        <f t="shared" si="6"/>
        <v>7510253</v>
      </c>
    </row>
    <row r="403" spans="1:9">
      <c r="A403" s="25" t="s">
        <v>1038</v>
      </c>
      <c r="B403" s="25" t="s">
        <v>440</v>
      </c>
      <c r="C403" s="25" t="s">
        <v>872</v>
      </c>
      <c r="D403" s="25" t="s">
        <v>162</v>
      </c>
      <c r="E403" s="25" t="s">
        <v>100</v>
      </c>
      <c r="F403" s="26">
        <v>20000</v>
      </c>
      <c r="H403" s="50"/>
      <c r="I403" s="48">
        <f t="shared" si="6"/>
        <v>20000</v>
      </c>
    </row>
    <row r="404" spans="1:9">
      <c r="A404" s="25" t="s">
        <v>1039</v>
      </c>
      <c r="B404" s="25" t="s">
        <v>1040</v>
      </c>
      <c r="C404" s="25" t="s">
        <v>872</v>
      </c>
      <c r="D404" s="25" t="s">
        <v>169</v>
      </c>
      <c r="E404" s="25" t="s">
        <v>1041</v>
      </c>
      <c r="F404" s="26">
        <v>-5784346.2000000002</v>
      </c>
      <c r="H404" s="50"/>
      <c r="I404" s="48">
        <f t="shared" si="6"/>
        <v>-5784346</v>
      </c>
    </row>
    <row r="405" spans="1:9">
      <c r="A405" s="25" t="s">
        <v>1042</v>
      </c>
      <c r="B405" s="25" t="s">
        <v>1043</v>
      </c>
      <c r="C405" s="25" t="s">
        <v>872</v>
      </c>
      <c r="D405" s="25" t="s">
        <v>157</v>
      </c>
      <c r="E405" s="25" t="s">
        <v>100</v>
      </c>
      <c r="F405" s="26">
        <v>0</v>
      </c>
      <c r="H405" s="50"/>
      <c r="I405" s="48">
        <f t="shared" si="6"/>
        <v>0</v>
      </c>
    </row>
    <row r="406" spans="1:9">
      <c r="A406" s="25" t="s">
        <v>1044</v>
      </c>
      <c r="B406" s="25" t="s">
        <v>1045</v>
      </c>
      <c r="C406" s="25" t="s">
        <v>872</v>
      </c>
      <c r="D406" s="25" t="s">
        <v>162</v>
      </c>
      <c r="E406" s="25" t="s">
        <v>100</v>
      </c>
      <c r="F406" s="26">
        <v>0</v>
      </c>
      <c r="H406" s="50"/>
      <c r="I406" s="48">
        <f t="shared" si="6"/>
        <v>0</v>
      </c>
    </row>
    <row r="407" spans="1:9">
      <c r="A407" s="25" t="s">
        <v>1046</v>
      </c>
      <c r="B407" s="25" t="s">
        <v>1047</v>
      </c>
      <c r="C407" s="25" t="s">
        <v>872</v>
      </c>
      <c r="D407" s="25" t="s">
        <v>162</v>
      </c>
      <c r="E407" s="25" t="s">
        <v>100</v>
      </c>
      <c r="F407" s="26">
        <v>-1843138.25</v>
      </c>
      <c r="H407" s="50"/>
      <c r="I407" s="48">
        <f t="shared" si="6"/>
        <v>-1843138</v>
      </c>
    </row>
    <row r="408" spans="1:9">
      <c r="A408" s="25" t="s">
        <v>1048</v>
      </c>
      <c r="B408" s="25" t="s">
        <v>1049</v>
      </c>
      <c r="C408" s="25" t="s">
        <v>872</v>
      </c>
      <c r="D408" s="25" t="s">
        <v>162</v>
      </c>
      <c r="E408" s="25" t="s">
        <v>100</v>
      </c>
      <c r="F408" s="26">
        <v>0</v>
      </c>
      <c r="H408" s="50"/>
      <c r="I408" s="48">
        <f t="shared" si="6"/>
        <v>0</v>
      </c>
    </row>
    <row r="409" spans="1:9">
      <c r="A409" s="25" t="s">
        <v>1050</v>
      </c>
      <c r="B409" s="25" t="s">
        <v>1051</v>
      </c>
      <c r="C409" s="25" t="s">
        <v>872</v>
      </c>
      <c r="D409" s="25" t="s">
        <v>162</v>
      </c>
      <c r="E409" s="25" t="s">
        <v>100</v>
      </c>
      <c r="F409" s="26">
        <v>0</v>
      </c>
      <c r="H409" s="50"/>
      <c r="I409" s="48">
        <f t="shared" si="6"/>
        <v>0</v>
      </c>
    </row>
    <row r="410" spans="1:9">
      <c r="A410" s="25" t="s">
        <v>1052</v>
      </c>
      <c r="B410" s="25" t="s">
        <v>1053</v>
      </c>
      <c r="C410" s="25" t="s">
        <v>872</v>
      </c>
      <c r="D410" s="25" t="s">
        <v>162</v>
      </c>
      <c r="E410" s="25" t="s">
        <v>100</v>
      </c>
      <c r="F410" s="26">
        <v>0</v>
      </c>
      <c r="H410" s="50"/>
      <c r="I410" s="48">
        <f t="shared" si="6"/>
        <v>0</v>
      </c>
    </row>
    <row r="411" spans="1:9">
      <c r="A411" s="25" t="s">
        <v>1054</v>
      </c>
      <c r="B411" s="25" t="s">
        <v>1055</v>
      </c>
      <c r="C411" s="25" t="s">
        <v>872</v>
      </c>
      <c r="D411" s="25" t="s">
        <v>162</v>
      </c>
      <c r="E411" s="25" t="s">
        <v>100</v>
      </c>
      <c r="F411" s="26">
        <v>-2457597.42</v>
      </c>
      <c r="G411" s="3">
        <f>242287+59165.86</f>
        <v>301452.86</v>
      </c>
      <c r="H411" s="50"/>
      <c r="I411" s="48">
        <f>ROUND(F411,0)+G411</f>
        <v>-2156144.14</v>
      </c>
    </row>
    <row r="412" spans="1:9">
      <c r="A412" s="25" t="s">
        <v>1056</v>
      </c>
      <c r="B412" s="25" t="s">
        <v>2178</v>
      </c>
      <c r="C412" s="25" t="s">
        <v>872</v>
      </c>
      <c r="D412" s="25" t="s">
        <v>157</v>
      </c>
      <c r="E412" s="25" t="s">
        <v>100</v>
      </c>
      <c r="F412" s="26">
        <v>0</v>
      </c>
      <c r="H412" s="50"/>
      <c r="I412" s="48">
        <f t="shared" si="6"/>
        <v>0</v>
      </c>
    </row>
    <row r="413" spans="1:9">
      <c r="A413" s="25" t="s">
        <v>1058</v>
      </c>
      <c r="B413" s="25" t="s">
        <v>1031</v>
      </c>
      <c r="C413" s="25" t="s">
        <v>872</v>
      </c>
      <c r="D413" s="25" t="s">
        <v>162</v>
      </c>
      <c r="E413" s="25" t="s">
        <v>100</v>
      </c>
      <c r="F413" s="26">
        <v>-564426.63</v>
      </c>
      <c r="H413" s="50"/>
      <c r="I413" s="48">
        <f t="shared" si="6"/>
        <v>-564427</v>
      </c>
    </row>
    <row r="414" spans="1:9">
      <c r="A414" s="25" t="s">
        <v>1059</v>
      </c>
      <c r="B414" s="25" t="s">
        <v>1060</v>
      </c>
      <c r="C414" s="25" t="s">
        <v>872</v>
      </c>
      <c r="D414" s="25" t="s">
        <v>162</v>
      </c>
      <c r="E414" s="25" t="s">
        <v>100</v>
      </c>
      <c r="F414" s="26">
        <v>0</v>
      </c>
      <c r="H414" s="50"/>
      <c r="I414" s="48">
        <f t="shared" si="6"/>
        <v>0</v>
      </c>
    </row>
    <row r="415" spans="1:9">
      <c r="A415" s="25" t="s">
        <v>1061</v>
      </c>
      <c r="B415" s="25" t="s">
        <v>1062</v>
      </c>
      <c r="C415" s="25" t="s">
        <v>872</v>
      </c>
      <c r="D415" s="25" t="s">
        <v>162</v>
      </c>
      <c r="E415" s="25" t="s">
        <v>100</v>
      </c>
      <c r="F415" s="26">
        <v>3950.99</v>
      </c>
      <c r="H415" s="50"/>
      <c r="I415" s="48">
        <f t="shared" si="6"/>
        <v>3951</v>
      </c>
    </row>
    <row r="416" spans="1:9">
      <c r="A416" s="25" t="s">
        <v>1063</v>
      </c>
      <c r="B416" s="25" t="s">
        <v>2179</v>
      </c>
      <c r="C416" s="25" t="s">
        <v>872</v>
      </c>
      <c r="D416" s="25" t="s">
        <v>169</v>
      </c>
      <c r="E416" s="25" t="s">
        <v>1065</v>
      </c>
      <c r="F416" s="26">
        <v>-560475.64</v>
      </c>
      <c r="H416" s="50"/>
      <c r="I416" s="48">
        <f t="shared" si="6"/>
        <v>-560476</v>
      </c>
    </row>
    <row r="417" spans="1:9">
      <c r="A417" s="25" t="s">
        <v>1066</v>
      </c>
      <c r="B417" s="25" t="s">
        <v>1067</v>
      </c>
      <c r="C417" s="25" t="s">
        <v>872</v>
      </c>
      <c r="D417" s="25" t="s">
        <v>169</v>
      </c>
      <c r="E417" s="25" t="s">
        <v>1068</v>
      </c>
      <c r="F417" s="26">
        <v>-4861211.3099999996</v>
      </c>
      <c r="H417" s="50"/>
      <c r="I417" s="48">
        <f t="shared" si="6"/>
        <v>-4861211</v>
      </c>
    </row>
    <row r="418" spans="1:9">
      <c r="A418" s="25" t="s">
        <v>1069</v>
      </c>
      <c r="B418" s="25" t="s">
        <v>1070</v>
      </c>
      <c r="C418" s="25" t="s">
        <v>872</v>
      </c>
      <c r="D418" s="25" t="s">
        <v>169</v>
      </c>
      <c r="E418" s="25" t="s">
        <v>1071</v>
      </c>
      <c r="F418" s="26">
        <v>-55555320.799999997</v>
      </c>
      <c r="H418" s="50"/>
      <c r="I418" s="48">
        <f t="shared" si="6"/>
        <v>-55555321</v>
      </c>
    </row>
    <row r="419" spans="1:9">
      <c r="A419" s="25" t="s">
        <v>1072</v>
      </c>
      <c r="B419" s="25" t="s">
        <v>1073</v>
      </c>
      <c r="C419" s="25" t="s">
        <v>872</v>
      </c>
      <c r="D419" s="25" t="s">
        <v>157</v>
      </c>
      <c r="E419" s="25" t="s">
        <v>100</v>
      </c>
      <c r="F419" s="26">
        <v>0</v>
      </c>
      <c r="H419" s="50"/>
      <c r="I419" s="48">
        <f t="shared" si="6"/>
        <v>0</v>
      </c>
    </row>
    <row r="420" spans="1:9">
      <c r="A420" s="25" t="s">
        <v>1074</v>
      </c>
      <c r="B420" s="25" t="s">
        <v>1075</v>
      </c>
      <c r="C420" s="25" t="s">
        <v>872</v>
      </c>
      <c r="D420" s="25" t="s">
        <v>162</v>
      </c>
      <c r="E420" s="25" t="s">
        <v>100</v>
      </c>
      <c r="F420" s="26">
        <v>-450000</v>
      </c>
      <c r="H420" s="50"/>
      <c r="I420" s="48">
        <f t="shared" si="6"/>
        <v>-450000</v>
      </c>
    </row>
    <row r="421" spans="1:9">
      <c r="A421" s="25" t="s">
        <v>1076</v>
      </c>
      <c r="B421" s="25" t="s">
        <v>1077</v>
      </c>
      <c r="C421" s="25" t="s">
        <v>872</v>
      </c>
      <c r="D421" s="25" t="s">
        <v>162</v>
      </c>
      <c r="E421" s="25" t="s">
        <v>100</v>
      </c>
      <c r="F421" s="26">
        <v>0</v>
      </c>
      <c r="H421" s="50"/>
      <c r="I421" s="48">
        <f t="shared" si="6"/>
        <v>0</v>
      </c>
    </row>
    <row r="422" spans="1:9">
      <c r="A422" s="25" t="s">
        <v>1078</v>
      </c>
      <c r="B422" s="25" t="s">
        <v>1079</v>
      </c>
      <c r="C422" s="25" t="s">
        <v>872</v>
      </c>
      <c r="D422" s="25" t="s">
        <v>162</v>
      </c>
      <c r="E422" s="25" t="s">
        <v>100</v>
      </c>
      <c r="F422" s="26">
        <v>-7503501.3600000003</v>
      </c>
      <c r="H422" s="50"/>
      <c r="I422" s="48">
        <f t="shared" si="6"/>
        <v>-7503501</v>
      </c>
    </row>
    <row r="423" spans="1:9">
      <c r="A423" s="25" t="s">
        <v>1080</v>
      </c>
      <c r="B423" s="25" t="s">
        <v>1081</v>
      </c>
      <c r="C423" s="25" t="s">
        <v>872</v>
      </c>
      <c r="D423" s="25" t="s">
        <v>169</v>
      </c>
      <c r="E423" s="25" t="s">
        <v>1082</v>
      </c>
      <c r="F423" s="26">
        <v>-7953501.3600000003</v>
      </c>
      <c r="H423" s="50"/>
      <c r="I423" s="48">
        <f t="shared" si="6"/>
        <v>-7953501</v>
      </c>
    </row>
    <row r="424" spans="1:9">
      <c r="A424" s="25" t="s">
        <v>1083</v>
      </c>
      <c r="B424" s="25" t="s">
        <v>1084</v>
      </c>
      <c r="C424" s="25" t="s">
        <v>872</v>
      </c>
      <c r="D424" s="25" t="s">
        <v>157</v>
      </c>
      <c r="E424" s="25" t="s">
        <v>100</v>
      </c>
      <c r="F424" s="26">
        <v>0</v>
      </c>
      <c r="H424" s="50"/>
      <c r="I424" s="48">
        <f t="shared" si="6"/>
        <v>0</v>
      </c>
    </row>
    <row r="425" spans="1:9">
      <c r="A425" s="25" t="s">
        <v>1085</v>
      </c>
      <c r="B425" s="25" t="s">
        <v>1086</v>
      </c>
      <c r="C425" s="25" t="s">
        <v>872</v>
      </c>
      <c r="D425" s="25" t="s">
        <v>157</v>
      </c>
      <c r="E425" s="25" t="s">
        <v>100</v>
      </c>
      <c r="F425" s="26">
        <v>0</v>
      </c>
      <c r="H425" s="50"/>
      <c r="I425" s="48">
        <f t="shared" si="6"/>
        <v>0</v>
      </c>
    </row>
    <row r="426" spans="1:9">
      <c r="A426" s="25" t="s">
        <v>1087</v>
      </c>
      <c r="B426" s="25" t="s">
        <v>1088</v>
      </c>
      <c r="C426" s="25" t="s">
        <v>872</v>
      </c>
      <c r="D426" s="25" t="s">
        <v>162</v>
      </c>
      <c r="E426" s="25" t="s">
        <v>100</v>
      </c>
      <c r="F426" s="26">
        <v>-333175.69</v>
      </c>
      <c r="H426" s="50"/>
      <c r="I426" s="48">
        <f t="shared" si="6"/>
        <v>-333176</v>
      </c>
    </row>
    <row r="427" spans="1:9">
      <c r="A427" s="25" t="s">
        <v>1089</v>
      </c>
      <c r="B427" s="25" t="s">
        <v>1090</v>
      </c>
      <c r="C427" s="25" t="s">
        <v>872</v>
      </c>
      <c r="D427" s="25" t="s">
        <v>169</v>
      </c>
      <c r="E427" s="25" t="s">
        <v>1091</v>
      </c>
      <c r="F427" s="26">
        <v>-333175.69</v>
      </c>
      <c r="H427" s="50"/>
      <c r="I427" s="3">
        <f t="shared" si="6"/>
        <v>-333176</v>
      </c>
    </row>
    <row r="428" spans="1:9">
      <c r="A428" s="25" t="s">
        <v>1092</v>
      </c>
      <c r="B428" s="25" t="s">
        <v>1093</v>
      </c>
      <c r="C428" s="25" t="s">
        <v>872</v>
      </c>
      <c r="D428" s="25" t="s">
        <v>157</v>
      </c>
      <c r="E428" s="25" t="s">
        <v>100</v>
      </c>
      <c r="F428" s="26">
        <v>0</v>
      </c>
      <c r="H428" s="50"/>
      <c r="I428" s="48">
        <f t="shared" si="6"/>
        <v>0</v>
      </c>
    </row>
    <row r="429" spans="1:9">
      <c r="A429" s="25" t="s">
        <v>1094</v>
      </c>
      <c r="B429" s="25" t="s">
        <v>1095</v>
      </c>
      <c r="C429" s="25" t="s">
        <v>872</v>
      </c>
      <c r="D429" s="25" t="s">
        <v>157</v>
      </c>
      <c r="E429" s="25" t="s">
        <v>100</v>
      </c>
      <c r="F429" s="26">
        <v>0</v>
      </c>
      <c r="H429" s="50"/>
      <c r="I429" s="48">
        <f t="shared" si="6"/>
        <v>0</v>
      </c>
    </row>
    <row r="430" spans="1:9">
      <c r="A430" s="25" t="s">
        <v>1096</v>
      </c>
      <c r="B430" s="25" t="s">
        <v>1097</v>
      </c>
      <c r="C430" s="25" t="s">
        <v>872</v>
      </c>
      <c r="D430" s="25" t="s">
        <v>162</v>
      </c>
      <c r="E430" s="25" t="s">
        <v>100</v>
      </c>
      <c r="F430" s="26">
        <v>0</v>
      </c>
      <c r="H430" s="50"/>
      <c r="I430" s="48">
        <f t="shared" si="6"/>
        <v>0</v>
      </c>
    </row>
    <row r="431" spans="1:9">
      <c r="A431" s="25" t="s">
        <v>1098</v>
      </c>
      <c r="B431" s="25" t="s">
        <v>1099</v>
      </c>
      <c r="C431" s="25" t="s">
        <v>872</v>
      </c>
      <c r="D431" s="25" t="s">
        <v>162</v>
      </c>
      <c r="E431" s="25" t="s">
        <v>100</v>
      </c>
      <c r="F431" s="26">
        <v>0</v>
      </c>
      <c r="H431" s="50"/>
      <c r="I431" s="48">
        <f t="shared" si="6"/>
        <v>0</v>
      </c>
    </row>
    <row r="432" spans="1:9">
      <c r="A432" s="25" t="s">
        <v>1100</v>
      </c>
      <c r="B432" s="25" t="s">
        <v>1101</v>
      </c>
      <c r="C432" s="25" t="s">
        <v>872</v>
      </c>
      <c r="D432" s="25" t="s">
        <v>169</v>
      </c>
      <c r="E432" s="25" t="s">
        <v>1102</v>
      </c>
      <c r="F432" s="26">
        <v>0</v>
      </c>
      <c r="H432" s="50"/>
      <c r="I432" s="48">
        <f t="shared" si="6"/>
        <v>0</v>
      </c>
    </row>
    <row r="433" spans="1:9">
      <c r="A433" s="25" t="s">
        <v>1103</v>
      </c>
      <c r="B433" s="25" t="s">
        <v>1104</v>
      </c>
      <c r="C433" s="25" t="s">
        <v>872</v>
      </c>
      <c r="D433" s="25" t="s">
        <v>157</v>
      </c>
      <c r="E433" s="25" t="s">
        <v>100</v>
      </c>
      <c r="F433" s="26">
        <v>0</v>
      </c>
      <c r="H433" s="50"/>
      <c r="I433" s="48">
        <f t="shared" si="6"/>
        <v>0</v>
      </c>
    </row>
    <row r="434" spans="1:9">
      <c r="A434" s="25" t="s">
        <v>1105</v>
      </c>
      <c r="B434" s="25" t="s">
        <v>155</v>
      </c>
      <c r="C434" s="25" t="s">
        <v>872</v>
      </c>
      <c r="D434" s="25" t="s">
        <v>157</v>
      </c>
      <c r="E434" s="25" t="s">
        <v>100</v>
      </c>
      <c r="F434" s="26">
        <v>0</v>
      </c>
      <c r="H434" s="50"/>
      <c r="I434" s="48">
        <f t="shared" si="6"/>
        <v>0</v>
      </c>
    </row>
    <row r="435" spans="1:9">
      <c r="A435" s="25" t="s">
        <v>1106</v>
      </c>
      <c r="B435" s="25" t="s">
        <v>1107</v>
      </c>
      <c r="C435" s="25" t="s">
        <v>872</v>
      </c>
      <c r="D435" s="25" t="s">
        <v>162</v>
      </c>
      <c r="E435" s="25" t="s">
        <v>100</v>
      </c>
      <c r="F435" s="26">
        <v>-325009.68</v>
      </c>
      <c r="H435" s="50"/>
      <c r="I435" s="48">
        <f t="shared" si="6"/>
        <v>-325010</v>
      </c>
    </row>
    <row r="436" spans="1:9">
      <c r="A436" s="25" t="s">
        <v>1108</v>
      </c>
      <c r="B436" s="25" t="s">
        <v>440</v>
      </c>
      <c r="C436" s="25" t="s">
        <v>872</v>
      </c>
      <c r="D436" s="25" t="s">
        <v>162</v>
      </c>
      <c r="E436" s="25" t="s">
        <v>100</v>
      </c>
      <c r="F436" s="26">
        <v>-200406</v>
      </c>
      <c r="H436" s="50"/>
      <c r="I436" s="48">
        <f t="shared" si="6"/>
        <v>-200406</v>
      </c>
    </row>
    <row r="437" spans="1:9">
      <c r="A437" s="25" t="s">
        <v>1109</v>
      </c>
      <c r="B437" s="25" t="s">
        <v>1110</v>
      </c>
      <c r="C437" s="25" t="s">
        <v>872</v>
      </c>
      <c r="D437" s="25" t="s">
        <v>162</v>
      </c>
      <c r="E437" s="25" t="s">
        <v>100</v>
      </c>
      <c r="F437" s="26">
        <v>-15400</v>
      </c>
      <c r="H437" s="50"/>
      <c r="I437" s="48">
        <f t="shared" si="6"/>
        <v>-15400</v>
      </c>
    </row>
    <row r="438" spans="1:9">
      <c r="A438" s="25" t="s">
        <v>1111</v>
      </c>
      <c r="B438" s="25" t="s">
        <v>481</v>
      </c>
      <c r="C438" s="25" t="s">
        <v>872</v>
      </c>
      <c r="D438" s="25" t="s">
        <v>162</v>
      </c>
      <c r="E438" s="25" t="s">
        <v>100</v>
      </c>
      <c r="F438" s="26">
        <v>149406.81</v>
      </c>
      <c r="G438" s="3">
        <v>150000</v>
      </c>
      <c r="H438" s="50"/>
      <c r="I438" s="48">
        <f>ROUND(F438,0)+G438</f>
        <v>299407</v>
      </c>
    </row>
    <row r="439" spans="1:9">
      <c r="A439" s="25" t="s">
        <v>1112</v>
      </c>
      <c r="B439" s="25" t="s">
        <v>278</v>
      </c>
      <c r="C439" s="25" t="s">
        <v>872</v>
      </c>
      <c r="D439" s="25" t="s">
        <v>169</v>
      </c>
      <c r="E439" s="25" t="s">
        <v>1113</v>
      </c>
      <c r="F439" s="26">
        <v>-391408.87</v>
      </c>
      <c r="H439" s="50"/>
      <c r="I439" s="48">
        <f>ROUND(F439,0)</f>
        <v>-391409</v>
      </c>
    </row>
    <row r="440" spans="1:9">
      <c r="A440" s="25" t="s">
        <v>1114</v>
      </c>
      <c r="B440" s="25" t="s">
        <v>1115</v>
      </c>
      <c r="C440" s="25" t="s">
        <v>872</v>
      </c>
      <c r="D440" s="25" t="s">
        <v>157</v>
      </c>
      <c r="E440" s="25" t="s">
        <v>100</v>
      </c>
      <c r="F440" s="26">
        <v>0</v>
      </c>
      <c r="H440" s="50"/>
      <c r="I440" s="48">
        <f t="shared" si="6"/>
        <v>0</v>
      </c>
    </row>
    <row r="441" spans="1:9">
      <c r="A441" s="25" t="s">
        <v>1116</v>
      </c>
      <c r="B441" s="25" t="s">
        <v>220</v>
      </c>
      <c r="C441" s="25" t="s">
        <v>872</v>
      </c>
      <c r="D441" s="25" t="s">
        <v>162</v>
      </c>
      <c r="E441" s="25" t="s">
        <v>100</v>
      </c>
      <c r="F441" s="26">
        <v>19563.52</v>
      </c>
      <c r="H441" s="50"/>
      <c r="I441" s="48">
        <f t="shared" si="6"/>
        <v>19564</v>
      </c>
    </row>
    <row r="442" spans="1:9">
      <c r="A442" s="25" t="s">
        <v>1117</v>
      </c>
      <c r="B442" s="25" t="s">
        <v>1118</v>
      </c>
      <c r="C442" s="25" t="s">
        <v>872</v>
      </c>
      <c r="D442" s="25" t="s">
        <v>162</v>
      </c>
      <c r="E442" s="25" t="s">
        <v>100</v>
      </c>
      <c r="F442" s="26">
        <v>61382.78</v>
      </c>
      <c r="H442" s="50"/>
      <c r="I442" s="48">
        <f t="shared" si="6"/>
        <v>61383</v>
      </c>
    </row>
    <row r="443" spans="1:9">
      <c r="A443" s="25" t="s">
        <v>1119</v>
      </c>
      <c r="B443" s="25" t="s">
        <v>1120</v>
      </c>
      <c r="C443" s="25" t="s">
        <v>872</v>
      </c>
      <c r="D443" s="25" t="s">
        <v>162</v>
      </c>
      <c r="E443" s="25" t="s">
        <v>100</v>
      </c>
      <c r="F443" s="26">
        <v>167789.78</v>
      </c>
      <c r="H443" s="50"/>
      <c r="I443" s="48">
        <f t="shared" si="6"/>
        <v>167790</v>
      </c>
    </row>
    <row r="444" spans="1:9">
      <c r="A444" s="25" t="s">
        <v>1121</v>
      </c>
      <c r="B444" s="25" t="s">
        <v>1122</v>
      </c>
      <c r="C444" s="25" t="s">
        <v>872</v>
      </c>
      <c r="D444" s="25" t="s">
        <v>162</v>
      </c>
      <c r="E444" s="25" t="s">
        <v>100</v>
      </c>
      <c r="F444" s="26">
        <v>0</v>
      </c>
      <c r="H444" s="50"/>
      <c r="I444" s="48">
        <f t="shared" si="6"/>
        <v>0</v>
      </c>
    </row>
    <row r="445" spans="1:9">
      <c r="A445" s="25" t="s">
        <v>1123</v>
      </c>
      <c r="B445" s="25" t="s">
        <v>1124</v>
      </c>
      <c r="C445" s="25" t="s">
        <v>872</v>
      </c>
      <c r="D445" s="25" t="s">
        <v>162</v>
      </c>
      <c r="E445" s="25" t="s">
        <v>100</v>
      </c>
      <c r="F445" s="26">
        <v>9875.11</v>
      </c>
      <c r="H445" s="50"/>
      <c r="I445" s="48">
        <f t="shared" si="6"/>
        <v>9875</v>
      </c>
    </row>
    <row r="446" spans="1:9">
      <c r="A446" s="25" t="s">
        <v>1125</v>
      </c>
      <c r="B446" s="25" t="s">
        <v>1126</v>
      </c>
      <c r="C446" s="25" t="s">
        <v>872</v>
      </c>
      <c r="D446" s="25" t="s">
        <v>162</v>
      </c>
      <c r="E446" s="25" t="s">
        <v>100</v>
      </c>
      <c r="F446" s="26">
        <v>0</v>
      </c>
      <c r="H446" s="50"/>
      <c r="I446" s="48">
        <f t="shared" si="6"/>
        <v>0</v>
      </c>
    </row>
    <row r="447" spans="1:9">
      <c r="A447" s="25" t="s">
        <v>1127</v>
      </c>
      <c r="B447" s="25" t="s">
        <v>1128</v>
      </c>
      <c r="C447" s="25" t="s">
        <v>872</v>
      </c>
      <c r="D447" s="25" t="s">
        <v>162</v>
      </c>
      <c r="E447" s="25" t="s">
        <v>100</v>
      </c>
      <c r="F447" s="26">
        <v>0</v>
      </c>
      <c r="H447" s="50"/>
      <c r="I447" s="48">
        <f t="shared" si="6"/>
        <v>0</v>
      </c>
    </row>
    <row r="448" spans="1:9">
      <c r="A448" s="25" t="s">
        <v>1129</v>
      </c>
      <c r="B448" s="25" t="s">
        <v>1130</v>
      </c>
      <c r="C448" s="25" t="s">
        <v>872</v>
      </c>
      <c r="D448" s="25" t="s">
        <v>162</v>
      </c>
      <c r="E448" s="25" t="s">
        <v>100</v>
      </c>
      <c r="F448" s="26">
        <v>0</v>
      </c>
      <c r="H448" s="50"/>
      <c r="I448" s="48">
        <f t="shared" si="6"/>
        <v>0</v>
      </c>
    </row>
    <row r="449" spans="1:11">
      <c r="A449" s="25" t="s">
        <v>1131</v>
      </c>
      <c r="B449" s="25" t="s">
        <v>1132</v>
      </c>
      <c r="C449" s="25" t="s">
        <v>872</v>
      </c>
      <c r="D449" s="25" t="s">
        <v>162</v>
      </c>
      <c r="E449" s="25" t="s">
        <v>100</v>
      </c>
      <c r="F449" s="26">
        <v>0</v>
      </c>
      <c r="H449" s="50"/>
      <c r="I449" s="48">
        <f t="shared" si="6"/>
        <v>0</v>
      </c>
    </row>
    <row r="450" spans="1:11">
      <c r="A450" s="25" t="s">
        <v>1133</v>
      </c>
      <c r="B450" s="25" t="s">
        <v>1134</v>
      </c>
      <c r="C450" s="25" t="s">
        <v>872</v>
      </c>
      <c r="D450" s="25" t="s">
        <v>162</v>
      </c>
      <c r="E450" s="25" t="s">
        <v>100</v>
      </c>
      <c r="F450" s="26">
        <v>0</v>
      </c>
      <c r="H450" s="50"/>
      <c r="I450" s="48">
        <f t="shared" si="6"/>
        <v>0</v>
      </c>
    </row>
    <row r="451" spans="1:11">
      <c r="A451" s="25" t="s">
        <v>1135</v>
      </c>
      <c r="B451" s="25" t="s">
        <v>1136</v>
      </c>
      <c r="C451" s="25" t="s">
        <v>872</v>
      </c>
      <c r="D451" s="25" t="s">
        <v>162</v>
      </c>
      <c r="E451" s="25" t="s">
        <v>100</v>
      </c>
      <c r="F451" s="26">
        <v>0</v>
      </c>
      <c r="H451" s="50"/>
      <c r="I451" s="48">
        <f t="shared" si="6"/>
        <v>0</v>
      </c>
    </row>
    <row r="452" spans="1:11">
      <c r="A452" s="25" t="s">
        <v>1137</v>
      </c>
      <c r="B452" s="25" t="s">
        <v>1138</v>
      </c>
      <c r="C452" s="25" t="s">
        <v>872</v>
      </c>
      <c r="D452" s="25" t="s">
        <v>162</v>
      </c>
      <c r="E452" s="25" t="s">
        <v>100</v>
      </c>
      <c r="F452" s="26">
        <v>0</v>
      </c>
      <c r="H452" s="50"/>
      <c r="I452" s="48">
        <f t="shared" ref="I452:I515" si="7">ROUND(F452,0)</f>
        <v>0</v>
      </c>
    </row>
    <row r="453" spans="1:11">
      <c r="A453" s="25" t="s">
        <v>1139</v>
      </c>
      <c r="B453" s="25" t="s">
        <v>1140</v>
      </c>
      <c r="C453" s="25" t="s">
        <v>872</v>
      </c>
      <c r="D453" s="25" t="s">
        <v>162</v>
      </c>
      <c r="E453" s="25" t="s">
        <v>100</v>
      </c>
      <c r="F453" s="26">
        <v>0</v>
      </c>
      <c r="H453" s="50"/>
      <c r="I453" s="48">
        <f t="shared" si="7"/>
        <v>0</v>
      </c>
    </row>
    <row r="454" spans="1:11">
      <c r="A454" s="25" t="s">
        <v>1141</v>
      </c>
      <c r="B454" s="25" t="s">
        <v>1142</v>
      </c>
      <c r="C454" s="25" t="s">
        <v>872</v>
      </c>
      <c r="D454" s="25" t="s">
        <v>162</v>
      </c>
      <c r="E454" s="25" t="s">
        <v>100</v>
      </c>
      <c r="F454" s="26">
        <v>30688.83</v>
      </c>
      <c r="G454" s="3">
        <v>-30689</v>
      </c>
      <c r="H454" s="50"/>
      <c r="I454" s="48">
        <f>ROUND(F454,0)+G454</f>
        <v>0</v>
      </c>
    </row>
    <row r="455" spans="1:11">
      <c r="A455" s="25" t="s">
        <v>1143</v>
      </c>
      <c r="B455" s="25" t="s">
        <v>1144</v>
      </c>
      <c r="C455" s="25" t="s">
        <v>872</v>
      </c>
      <c r="D455" s="25" t="s">
        <v>162</v>
      </c>
      <c r="E455" s="25" t="s">
        <v>100</v>
      </c>
      <c r="F455" s="26">
        <v>0</v>
      </c>
      <c r="H455" s="50"/>
      <c r="I455" s="48">
        <f t="shared" si="7"/>
        <v>0</v>
      </c>
    </row>
    <row r="456" spans="1:11">
      <c r="A456" s="25" t="s">
        <v>1145</v>
      </c>
      <c r="B456" s="25" t="s">
        <v>1146</v>
      </c>
      <c r="C456" s="25" t="s">
        <v>872</v>
      </c>
      <c r="D456" s="25" t="s">
        <v>162</v>
      </c>
      <c r="E456" s="25" t="s">
        <v>100</v>
      </c>
      <c r="F456" s="26">
        <v>0</v>
      </c>
      <c r="H456" s="50"/>
      <c r="I456" s="48">
        <f t="shared" si="7"/>
        <v>0</v>
      </c>
    </row>
    <row r="457" spans="1:11">
      <c r="A457" s="25" t="s">
        <v>1147</v>
      </c>
      <c r="B457" s="25" t="s">
        <v>1148</v>
      </c>
      <c r="C457" s="25" t="s">
        <v>872</v>
      </c>
      <c r="D457" s="25" t="s">
        <v>162</v>
      </c>
      <c r="E457" s="25" t="s">
        <v>100</v>
      </c>
      <c r="F457" s="26">
        <v>0</v>
      </c>
      <c r="H457" s="50"/>
      <c r="I457" s="48">
        <f t="shared" si="7"/>
        <v>0</v>
      </c>
    </row>
    <row r="458" spans="1:11">
      <c r="A458" s="25" t="s">
        <v>1149</v>
      </c>
      <c r="B458" s="25" t="s">
        <v>1150</v>
      </c>
      <c r="C458" s="25" t="s">
        <v>872</v>
      </c>
      <c r="D458" s="25" t="s">
        <v>162</v>
      </c>
      <c r="E458" s="25" t="s">
        <v>100</v>
      </c>
      <c r="F458" s="26">
        <v>0</v>
      </c>
      <c r="G458" s="3">
        <v>-14364</v>
      </c>
      <c r="H458" s="50"/>
      <c r="I458" s="48">
        <f t="shared" si="7"/>
        <v>0</v>
      </c>
    </row>
    <row r="459" spans="1:11">
      <c r="A459" s="25" t="s">
        <v>1151</v>
      </c>
      <c r="B459" s="25" t="s">
        <v>1152</v>
      </c>
      <c r="C459" s="25" t="s">
        <v>872</v>
      </c>
      <c r="D459" s="25" t="s">
        <v>169</v>
      </c>
      <c r="E459" s="25" t="s">
        <v>1153</v>
      </c>
      <c r="F459" s="26">
        <v>289300.02</v>
      </c>
      <c r="H459" s="50"/>
      <c r="I459" s="48">
        <f t="shared" si="7"/>
        <v>289300</v>
      </c>
    </row>
    <row r="460" spans="1:11">
      <c r="A460" s="25" t="s">
        <v>1154</v>
      </c>
      <c r="B460" s="25" t="s">
        <v>1155</v>
      </c>
      <c r="C460" s="25" t="s">
        <v>872</v>
      </c>
      <c r="D460" s="25" t="s">
        <v>169</v>
      </c>
      <c r="E460" s="25" t="s">
        <v>1156</v>
      </c>
      <c r="F460" s="26">
        <v>-102108.85</v>
      </c>
      <c r="H460" s="50"/>
      <c r="I460" s="48">
        <f t="shared" si="7"/>
        <v>-102109</v>
      </c>
    </row>
    <row r="461" spans="1:11">
      <c r="A461" s="25" t="s">
        <v>1157</v>
      </c>
      <c r="B461" s="25" t="s">
        <v>1158</v>
      </c>
      <c r="C461" s="25" t="s">
        <v>872</v>
      </c>
      <c r="D461" s="25" t="s">
        <v>169</v>
      </c>
      <c r="E461" s="25" t="s">
        <v>1159</v>
      </c>
      <c r="F461" s="26">
        <v>-102108.85</v>
      </c>
      <c r="H461" s="50"/>
      <c r="I461" s="3">
        <f>ROUND(F461,0)+G438+G454+G458</f>
        <v>2838</v>
      </c>
    </row>
    <row r="462" spans="1:11">
      <c r="A462" s="25" t="s">
        <v>1160</v>
      </c>
      <c r="B462" s="25" t="s">
        <v>1161</v>
      </c>
      <c r="C462" s="25" t="s">
        <v>872</v>
      </c>
      <c r="D462" s="25" t="s">
        <v>157</v>
      </c>
      <c r="E462" s="25" t="s">
        <v>100</v>
      </c>
      <c r="F462" s="26">
        <v>0</v>
      </c>
      <c r="H462" s="50"/>
      <c r="I462" s="48">
        <f t="shared" si="7"/>
        <v>0</v>
      </c>
    </row>
    <row r="463" spans="1:11">
      <c r="A463" s="25" t="s">
        <v>1162</v>
      </c>
      <c r="B463" s="25" t="s">
        <v>1163</v>
      </c>
      <c r="C463" s="25" t="s">
        <v>872</v>
      </c>
      <c r="D463" s="25" t="s">
        <v>162</v>
      </c>
      <c r="E463" s="25" t="s">
        <v>100</v>
      </c>
      <c r="F463" s="26">
        <v>-855</v>
      </c>
      <c r="H463" s="50"/>
      <c r="I463" s="48">
        <f t="shared" si="7"/>
        <v>-855</v>
      </c>
      <c r="K463" s="3">
        <f>+I463+I464+I465+I466+I467+I468+I469+I470+I478+I483+I493+I503+I587+I357+I581+G498+G482+G501+H498</f>
        <v>-2501376.5499999998</v>
      </c>
    </row>
    <row r="464" spans="1:11">
      <c r="A464" s="25" t="s">
        <v>1164</v>
      </c>
      <c r="B464" s="25" t="s">
        <v>1165</v>
      </c>
      <c r="C464" s="25" t="s">
        <v>872</v>
      </c>
      <c r="D464" s="25" t="s">
        <v>162</v>
      </c>
      <c r="E464" s="25" t="s">
        <v>100</v>
      </c>
      <c r="F464" s="26">
        <v>-440</v>
      </c>
      <c r="H464" s="50"/>
      <c r="I464" s="48">
        <f t="shared" si="7"/>
        <v>-440</v>
      </c>
    </row>
    <row r="465" spans="1:9">
      <c r="A465" s="25" t="s">
        <v>1166</v>
      </c>
      <c r="B465" s="25" t="s">
        <v>1167</v>
      </c>
      <c r="C465" s="25" t="s">
        <v>872</v>
      </c>
      <c r="D465" s="25" t="s">
        <v>162</v>
      </c>
      <c r="E465" s="25" t="s">
        <v>100</v>
      </c>
      <c r="F465" s="26">
        <v>-6378</v>
      </c>
      <c r="H465" s="50"/>
      <c r="I465" s="48">
        <f t="shared" si="7"/>
        <v>-6378</v>
      </c>
    </row>
    <row r="466" spans="1:9">
      <c r="A466" s="25" t="s">
        <v>1168</v>
      </c>
      <c r="B466" s="25" t="s">
        <v>1169</v>
      </c>
      <c r="C466" s="25" t="s">
        <v>872</v>
      </c>
      <c r="D466" s="25" t="s">
        <v>162</v>
      </c>
      <c r="E466" s="25" t="s">
        <v>100</v>
      </c>
      <c r="F466" s="26">
        <v>-39075</v>
      </c>
      <c r="H466" s="50"/>
      <c r="I466" s="48">
        <f t="shared" si="7"/>
        <v>-39075</v>
      </c>
    </row>
    <row r="467" spans="1:9">
      <c r="A467" s="25" t="s">
        <v>1170</v>
      </c>
      <c r="B467" s="25" t="s">
        <v>1171</v>
      </c>
      <c r="C467" s="25" t="s">
        <v>872</v>
      </c>
      <c r="D467" s="25" t="s">
        <v>162</v>
      </c>
      <c r="E467" s="25" t="s">
        <v>100</v>
      </c>
      <c r="F467" s="26">
        <v>-11940</v>
      </c>
      <c r="H467" s="50"/>
      <c r="I467" s="48">
        <f t="shared" si="7"/>
        <v>-11940</v>
      </c>
    </row>
    <row r="468" spans="1:9">
      <c r="A468" s="25" t="s">
        <v>1172</v>
      </c>
      <c r="B468" s="25" t="s">
        <v>1173</v>
      </c>
      <c r="C468" s="25" t="s">
        <v>872</v>
      </c>
      <c r="D468" s="25" t="s">
        <v>162</v>
      </c>
      <c r="E468" s="25" t="s">
        <v>100</v>
      </c>
      <c r="F468" s="26">
        <v>-590</v>
      </c>
      <c r="H468" s="50"/>
      <c r="I468" s="48">
        <f t="shared" si="7"/>
        <v>-590</v>
      </c>
    </row>
    <row r="469" spans="1:9">
      <c r="A469" s="25" t="s">
        <v>1174</v>
      </c>
      <c r="B469" s="25" t="s">
        <v>1175</v>
      </c>
      <c r="C469" s="25" t="s">
        <v>872</v>
      </c>
      <c r="D469" s="25" t="s">
        <v>162</v>
      </c>
      <c r="E469" s="25" t="s">
        <v>100</v>
      </c>
      <c r="F469" s="26">
        <v>-7855</v>
      </c>
      <c r="H469" s="50"/>
      <c r="I469" s="48">
        <f t="shared" si="7"/>
        <v>-7855</v>
      </c>
    </row>
    <row r="470" spans="1:9">
      <c r="A470" s="25" t="s">
        <v>1176</v>
      </c>
      <c r="B470" s="25" t="s">
        <v>1177</v>
      </c>
      <c r="C470" s="25" t="s">
        <v>872</v>
      </c>
      <c r="D470" s="25" t="s">
        <v>162</v>
      </c>
      <c r="E470" s="25" t="s">
        <v>100</v>
      </c>
      <c r="F470" s="26">
        <v>-1568</v>
      </c>
      <c r="H470" s="50"/>
      <c r="I470" s="48">
        <f t="shared" si="7"/>
        <v>-1568</v>
      </c>
    </row>
    <row r="471" spans="1:9">
      <c r="A471" s="25" t="s">
        <v>1178</v>
      </c>
      <c r="B471" s="25" t="s">
        <v>2283</v>
      </c>
      <c r="C471" s="25" t="s">
        <v>872</v>
      </c>
      <c r="D471" s="25" t="s">
        <v>162</v>
      </c>
      <c r="E471" s="25" t="s">
        <v>100</v>
      </c>
      <c r="F471" s="26">
        <v>0</v>
      </c>
      <c r="H471" s="50"/>
      <c r="I471" s="48">
        <f t="shared" si="7"/>
        <v>0</v>
      </c>
    </row>
    <row r="472" spans="1:9">
      <c r="A472" s="25" t="s">
        <v>1180</v>
      </c>
      <c r="B472" s="25" t="s">
        <v>1181</v>
      </c>
      <c r="C472" s="25" t="s">
        <v>872</v>
      </c>
      <c r="D472" s="25" t="s">
        <v>162</v>
      </c>
      <c r="E472" s="25" t="s">
        <v>100</v>
      </c>
      <c r="F472" s="26">
        <v>-3950.99</v>
      </c>
      <c r="H472" s="50"/>
      <c r="I472" s="3">
        <f t="shared" si="7"/>
        <v>-3951</v>
      </c>
    </row>
    <row r="473" spans="1:9">
      <c r="A473" s="25" t="s">
        <v>1182</v>
      </c>
      <c r="B473" s="25" t="s">
        <v>2222</v>
      </c>
      <c r="C473" s="25" t="s">
        <v>872</v>
      </c>
      <c r="D473" s="25" t="s">
        <v>162</v>
      </c>
      <c r="E473" s="25" t="s">
        <v>100</v>
      </c>
      <c r="F473" s="26">
        <v>61291.08</v>
      </c>
      <c r="H473" s="50"/>
      <c r="I473" s="3">
        <f t="shared" si="7"/>
        <v>61291</v>
      </c>
    </row>
    <row r="474" spans="1:9">
      <c r="A474" s="25" t="s">
        <v>1186</v>
      </c>
      <c r="B474" s="25" t="s">
        <v>1187</v>
      </c>
      <c r="C474" s="25" t="s">
        <v>872</v>
      </c>
      <c r="D474" s="25" t="s">
        <v>162</v>
      </c>
      <c r="E474" s="25" t="s">
        <v>100</v>
      </c>
      <c r="F474" s="26">
        <v>432</v>
      </c>
      <c r="H474" s="50"/>
      <c r="I474" s="3">
        <f t="shared" si="7"/>
        <v>432</v>
      </c>
    </row>
    <row r="475" spans="1:9">
      <c r="A475" s="25" t="s">
        <v>1188</v>
      </c>
      <c r="B475" s="25" t="s">
        <v>2180</v>
      </c>
      <c r="C475" s="25" t="s">
        <v>872</v>
      </c>
      <c r="D475" s="25" t="s">
        <v>162</v>
      </c>
      <c r="E475" s="25" t="s">
        <v>100</v>
      </c>
      <c r="F475" s="26">
        <v>-432</v>
      </c>
      <c r="H475" s="50"/>
      <c r="I475" s="3">
        <f t="shared" si="7"/>
        <v>-432</v>
      </c>
    </row>
    <row r="476" spans="1:9">
      <c r="A476" s="25" t="s">
        <v>1190</v>
      </c>
      <c r="B476" s="25" t="s">
        <v>1191</v>
      </c>
      <c r="C476" s="25" t="s">
        <v>872</v>
      </c>
      <c r="D476" s="25" t="s">
        <v>162</v>
      </c>
      <c r="E476" s="25" t="s">
        <v>100</v>
      </c>
      <c r="F476" s="26">
        <v>-195818.52</v>
      </c>
      <c r="H476" s="50"/>
      <c r="I476" s="3">
        <f t="shared" si="7"/>
        <v>-195819</v>
      </c>
    </row>
    <row r="477" spans="1:9">
      <c r="A477" s="25" t="s">
        <v>1192</v>
      </c>
      <c r="B477" s="25" t="s">
        <v>1193</v>
      </c>
      <c r="C477" s="25" t="s">
        <v>872</v>
      </c>
      <c r="D477" s="25" t="s">
        <v>162</v>
      </c>
      <c r="E477" s="25" t="s">
        <v>100</v>
      </c>
      <c r="F477" s="26">
        <v>31.4</v>
      </c>
      <c r="H477" s="50"/>
      <c r="I477" s="48">
        <f t="shared" si="7"/>
        <v>31</v>
      </c>
    </row>
    <row r="478" spans="1:9">
      <c r="A478" s="25" t="s">
        <v>1194</v>
      </c>
      <c r="B478" s="25" t="s">
        <v>2181</v>
      </c>
      <c r="C478" s="25" t="s">
        <v>872</v>
      </c>
      <c r="D478" s="25" t="s">
        <v>162</v>
      </c>
      <c r="E478" s="25" t="s">
        <v>100</v>
      </c>
      <c r="F478" s="26">
        <v>-37157.64</v>
      </c>
      <c r="G478" s="3">
        <v>37157.64</v>
      </c>
      <c r="H478" s="50"/>
      <c r="I478" s="48">
        <f>ROUND(F478,0)+G478</f>
        <v>-0.36000000000058208</v>
      </c>
    </row>
    <row r="479" spans="1:9">
      <c r="A479" s="25" t="s">
        <v>1196</v>
      </c>
      <c r="B479" s="25" t="s">
        <v>2223</v>
      </c>
      <c r="C479" s="25" t="s">
        <v>872</v>
      </c>
      <c r="D479" s="25" t="s">
        <v>162</v>
      </c>
      <c r="E479" s="25" t="s">
        <v>100</v>
      </c>
      <c r="F479" s="26">
        <v>0</v>
      </c>
      <c r="H479" s="50"/>
      <c r="I479" s="48">
        <f t="shared" si="7"/>
        <v>0</v>
      </c>
    </row>
    <row r="480" spans="1:9">
      <c r="A480" s="25" t="s">
        <v>1200</v>
      </c>
      <c r="B480" s="25" t="s">
        <v>1201</v>
      </c>
      <c r="C480" s="25" t="s">
        <v>872</v>
      </c>
      <c r="D480" s="25" t="s">
        <v>169</v>
      </c>
      <c r="E480" s="25" t="s">
        <v>1202</v>
      </c>
      <c r="F480" s="26">
        <v>-244305.67</v>
      </c>
      <c r="H480" s="50"/>
      <c r="I480" s="48">
        <f t="shared" si="7"/>
        <v>-244306</v>
      </c>
    </row>
    <row r="481" spans="1:9">
      <c r="A481" s="25" t="s">
        <v>1203</v>
      </c>
      <c r="B481" s="25" t="s">
        <v>1204</v>
      </c>
      <c r="C481" s="25" t="s">
        <v>872</v>
      </c>
      <c r="D481" s="25" t="s">
        <v>157</v>
      </c>
      <c r="E481" s="25" t="s">
        <v>100</v>
      </c>
      <c r="F481" s="26">
        <v>0</v>
      </c>
      <c r="H481" s="50"/>
      <c r="I481" s="48">
        <f t="shared" si="7"/>
        <v>0</v>
      </c>
    </row>
    <row r="482" spans="1:9">
      <c r="A482" s="25" t="s">
        <v>1205</v>
      </c>
      <c r="B482" s="25" t="s">
        <v>1206</v>
      </c>
      <c r="C482" s="25" t="s">
        <v>872</v>
      </c>
      <c r="D482" s="25" t="s">
        <v>162</v>
      </c>
      <c r="E482" s="25" t="s">
        <v>100</v>
      </c>
      <c r="F482" s="26">
        <v>-339339.61</v>
      </c>
      <c r="G482" s="3">
        <v>-5313.75</v>
      </c>
      <c r="H482" s="50"/>
      <c r="I482" s="48">
        <f>ROUND(F482,0)+G482</f>
        <v>-344653.75</v>
      </c>
    </row>
    <row r="483" spans="1:9">
      <c r="A483" s="25" t="s">
        <v>1207</v>
      </c>
      <c r="B483" s="25" t="s">
        <v>1208</v>
      </c>
      <c r="C483" s="25" t="s">
        <v>872</v>
      </c>
      <c r="D483" s="25" t="s">
        <v>169</v>
      </c>
      <c r="E483" s="25" t="s">
        <v>1209</v>
      </c>
      <c r="F483" s="26">
        <v>-339339.61</v>
      </c>
      <c r="H483" s="50"/>
      <c r="I483" s="48">
        <f t="shared" si="7"/>
        <v>-339340</v>
      </c>
    </row>
    <row r="484" spans="1:9">
      <c r="A484" s="25" t="s">
        <v>1210</v>
      </c>
      <c r="B484" s="25" t="s">
        <v>1211</v>
      </c>
      <c r="C484" s="25" t="s">
        <v>872</v>
      </c>
      <c r="D484" s="25" t="s">
        <v>157</v>
      </c>
      <c r="E484" s="25" t="s">
        <v>100</v>
      </c>
      <c r="F484" s="26">
        <v>0</v>
      </c>
      <c r="H484" s="50"/>
      <c r="I484" s="48">
        <f t="shared" si="7"/>
        <v>0</v>
      </c>
    </row>
    <row r="485" spans="1:9">
      <c r="A485" s="25" t="s">
        <v>1212</v>
      </c>
      <c r="B485" s="25" t="s">
        <v>1213</v>
      </c>
      <c r="C485" s="25" t="s">
        <v>872</v>
      </c>
      <c r="D485" s="25" t="s">
        <v>162</v>
      </c>
      <c r="E485" s="25" t="s">
        <v>100</v>
      </c>
      <c r="F485" s="26">
        <v>31425</v>
      </c>
      <c r="H485" s="50"/>
      <c r="I485" s="48">
        <f t="shared" si="7"/>
        <v>31425</v>
      </c>
    </row>
    <row r="486" spans="1:9">
      <c r="A486" s="25" t="s">
        <v>1214</v>
      </c>
      <c r="B486" s="25" t="s">
        <v>1215</v>
      </c>
      <c r="C486" s="25" t="s">
        <v>872</v>
      </c>
      <c r="D486" s="25" t="s">
        <v>162</v>
      </c>
      <c r="E486" s="25" t="s">
        <v>100</v>
      </c>
      <c r="F486" s="26">
        <v>8785</v>
      </c>
      <c r="H486" s="50"/>
      <c r="I486" s="48">
        <f t="shared" si="7"/>
        <v>8785</v>
      </c>
    </row>
    <row r="487" spans="1:9">
      <c r="A487" s="25" t="s">
        <v>1216</v>
      </c>
      <c r="B487" s="25" t="s">
        <v>1217</v>
      </c>
      <c r="C487" s="25" t="s">
        <v>872</v>
      </c>
      <c r="D487" s="25" t="s">
        <v>162</v>
      </c>
      <c r="E487" s="25" t="s">
        <v>100</v>
      </c>
      <c r="F487" s="26">
        <v>-38584.71</v>
      </c>
      <c r="H487" s="50"/>
      <c r="I487" s="48">
        <f t="shared" si="7"/>
        <v>-38585</v>
      </c>
    </row>
    <row r="488" spans="1:9">
      <c r="A488" s="25" t="s">
        <v>1218</v>
      </c>
      <c r="B488" s="25" t="s">
        <v>1219</v>
      </c>
      <c r="C488" s="25" t="s">
        <v>872</v>
      </c>
      <c r="D488" s="25" t="s">
        <v>162</v>
      </c>
      <c r="E488" s="25" t="s">
        <v>100</v>
      </c>
      <c r="F488" s="26">
        <v>-24030</v>
      </c>
      <c r="H488" s="50"/>
      <c r="I488" s="48">
        <f t="shared" si="7"/>
        <v>-24030</v>
      </c>
    </row>
    <row r="489" spans="1:9">
      <c r="A489" s="25" t="s">
        <v>1220</v>
      </c>
      <c r="B489" s="25" t="s">
        <v>1221</v>
      </c>
      <c r="C489" s="25" t="s">
        <v>872</v>
      </c>
      <c r="D489" s="25" t="s">
        <v>162</v>
      </c>
      <c r="E489" s="25" t="s">
        <v>100</v>
      </c>
      <c r="F489" s="26">
        <v>-23303.97</v>
      </c>
      <c r="H489" s="50"/>
      <c r="I489" s="48">
        <f t="shared" si="7"/>
        <v>-23304</v>
      </c>
    </row>
    <row r="490" spans="1:9">
      <c r="A490" s="25" t="s">
        <v>1222</v>
      </c>
      <c r="B490" s="25" t="s">
        <v>1223</v>
      </c>
      <c r="C490" s="25" t="s">
        <v>872</v>
      </c>
      <c r="D490" s="25" t="s">
        <v>162</v>
      </c>
      <c r="E490" s="25" t="s">
        <v>100</v>
      </c>
      <c r="F490" s="26">
        <v>-97059.09</v>
      </c>
      <c r="H490" s="50"/>
      <c r="I490" s="48">
        <f t="shared" si="7"/>
        <v>-97059</v>
      </c>
    </row>
    <row r="491" spans="1:9">
      <c r="A491" s="25" t="s">
        <v>1224</v>
      </c>
      <c r="B491" s="25" t="s">
        <v>1225</v>
      </c>
      <c r="C491" s="25" t="s">
        <v>872</v>
      </c>
      <c r="D491" s="25" t="s">
        <v>162</v>
      </c>
      <c r="E491" s="25" t="s">
        <v>100</v>
      </c>
      <c r="F491" s="26">
        <v>0</v>
      </c>
      <c r="H491" s="50"/>
      <c r="I491" s="48">
        <f t="shared" si="7"/>
        <v>0</v>
      </c>
    </row>
    <row r="492" spans="1:9">
      <c r="A492" s="25" t="s">
        <v>1226</v>
      </c>
      <c r="B492" s="25" t="s">
        <v>1227</v>
      </c>
      <c r="C492" s="25" t="s">
        <v>872</v>
      </c>
      <c r="D492" s="25" t="s">
        <v>162</v>
      </c>
      <c r="E492" s="25" t="s">
        <v>100</v>
      </c>
      <c r="F492" s="26">
        <v>0</v>
      </c>
      <c r="H492" s="50"/>
      <c r="I492" s="48">
        <f t="shared" si="7"/>
        <v>0</v>
      </c>
    </row>
    <row r="493" spans="1:9">
      <c r="A493" s="25" t="s">
        <v>1228</v>
      </c>
      <c r="B493" s="25" t="s">
        <v>1229</v>
      </c>
      <c r="C493" s="25" t="s">
        <v>872</v>
      </c>
      <c r="D493" s="25" t="s">
        <v>169</v>
      </c>
      <c r="E493" s="25" t="s">
        <v>1230</v>
      </c>
      <c r="F493" s="26">
        <v>-142767.76999999999</v>
      </c>
      <c r="H493" s="50"/>
      <c r="I493" s="48">
        <f t="shared" si="7"/>
        <v>-142768</v>
      </c>
    </row>
    <row r="494" spans="1:9">
      <c r="A494" s="25" t="s">
        <v>1231</v>
      </c>
      <c r="B494" s="25" t="s">
        <v>1232</v>
      </c>
      <c r="C494" s="25" t="s">
        <v>872</v>
      </c>
      <c r="D494" s="25" t="s">
        <v>157</v>
      </c>
      <c r="E494" s="25" t="s">
        <v>100</v>
      </c>
      <c r="F494" s="26">
        <v>0</v>
      </c>
      <c r="H494" s="50"/>
      <c r="I494" s="48">
        <f t="shared" si="7"/>
        <v>0</v>
      </c>
    </row>
    <row r="495" spans="1:9">
      <c r="A495" s="25" t="s">
        <v>1233</v>
      </c>
      <c r="B495" s="25" t="s">
        <v>1234</v>
      </c>
      <c r="C495" s="25" t="s">
        <v>872</v>
      </c>
      <c r="D495" s="25" t="s">
        <v>162</v>
      </c>
      <c r="E495" s="25" t="s">
        <v>100</v>
      </c>
      <c r="F495" s="26">
        <v>-3378</v>
      </c>
      <c r="H495" s="50"/>
      <c r="I495" s="48">
        <f t="shared" si="7"/>
        <v>-3378</v>
      </c>
    </row>
    <row r="496" spans="1:9">
      <c r="A496" s="25" t="s">
        <v>1235</v>
      </c>
      <c r="B496" s="25" t="s">
        <v>1236</v>
      </c>
      <c r="C496" s="25" t="s">
        <v>872</v>
      </c>
      <c r="D496" s="25" t="s">
        <v>162</v>
      </c>
      <c r="E496" s="25" t="s">
        <v>100</v>
      </c>
      <c r="F496" s="26">
        <v>-47.53</v>
      </c>
      <c r="H496" s="50"/>
      <c r="I496" s="48">
        <f t="shared" si="7"/>
        <v>-48</v>
      </c>
    </row>
    <row r="497" spans="1:9">
      <c r="A497" s="25" t="s">
        <v>1237</v>
      </c>
      <c r="B497" s="25" t="s">
        <v>1238</v>
      </c>
      <c r="C497" s="25" t="s">
        <v>872</v>
      </c>
      <c r="D497" s="25" t="s">
        <v>162</v>
      </c>
      <c r="E497" s="25" t="s">
        <v>100</v>
      </c>
      <c r="F497" s="26">
        <v>-3092.21</v>
      </c>
      <c r="H497" s="50"/>
      <c r="I497" s="48">
        <f t="shared" si="7"/>
        <v>-3092</v>
      </c>
    </row>
    <row r="498" spans="1:9">
      <c r="A498" s="25" t="s">
        <v>1239</v>
      </c>
      <c r="B498" s="25" t="s">
        <v>1240</v>
      </c>
      <c r="C498" s="25" t="s">
        <v>872</v>
      </c>
      <c r="D498" s="25" t="s">
        <v>162</v>
      </c>
      <c r="E498" s="25" t="s">
        <v>100</v>
      </c>
      <c r="F498" s="26">
        <v>-147462.26999999999</v>
      </c>
      <c r="G498" s="3">
        <f>-3266.19</f>
        <v>-3266.19</v>
      </c>
      <c r="H498" s="50">
        <v>-26377.25</v>
      </c>
      <c r="I498" s="48">
        <f>ROUND(F498,0)+G498+H498</f>
        <v>-177105.44</v>
      </c>
    </row>
    <row r="499" spans="1:9">
      <c r="A499" s="25" t="s">
        <v>1241</v>
      </c>
      <c r="B499" s="25" t="s">
        <v>2207</v>
      </c>
      <c r="C499" s="25" t="s">
        <v>872</v>
      </c>
      <c r="D499" s="25" t="s">
        <v>162</v>
      </c>
      <c r="E499" s="25" t="s">
        <v>100</v>
      </c>
      <c r="F499" s="26">
        <v>0</v>
      </c>
      <c r="H499" s="50"/>
      <c r="I499" s="48">
        <f t="shared" si="7"/>
        <v>0</v>
      </c>
    </row>
    <row r="500" spans="1:9">
      <c r="A500" s="25" t="s">
        <v>1243</v>
      </c>
      <c r="B500" s="25" t="s">
        <v>1244</v>
      </c>
      <c r="C500" s="25" t="s">
        <v>872</v>
      </c>
      <c r="D500" s="25" t="s">
        <v>162</v>
      </c>
      <c r="E500" s="25" t="s">
        <v>100</v>
      </c>
      <c r="F500" s="26">
        <v>0</v>
      </c>
      <c r="H500" s="50">
        <v>-147598.66</v>
      </c>
      <c r="I500" s="48">
        <f>+H500</f>
        <v>-147598.66</v>
      </c>
    </row>
    <row r="501" spans="1:9">
      <c r="A501" s="25" t="s">
        <v>1245</v>
      </c>
      <c r="B501" s="25" t="s">
        <v>1246</v>
      </c>
      <c r="C501" s="25" t="s">
        <v>872</v>
      </c>
      <c r="D501" s="25" t="s">
        <v>162</v>
      </c>
      <c r="E501" s="25" t="s">
        <v>100</v>
      </c>
      <c r="F501" s="26">
        <v>-142000</v>
      </c>
      <c r="G501" s="3">
        <f>-150000-60000</f>
        <v>-210000</v>
      </c>
      <c r="H501" s="50"/>
      <c r="I501" s="48">
        <f>ROUND(F501,0)+G501</f>
        <v>-352000</v>
      </c>
    </row>
    <row r="502" spans="1:9">
      <c r="A502" s="25" t="s">
        <v>1247</v>
      </c>
      <c r="B502" s="25" t="s">
        <v>1248</v>
      </c>
      <c r="C502" s="25" t="s">
        <v>872</v>
      </c>
      <c r="D502" s="25" t="s">
        <v>162</v>
      </c>
      <c r="E502" s="25" t="s">
        <v>100</v>
      </c>
      <c r="F502" s="26">
        <v>0</v>
      </c>
      <c r="H502" s="50"/>
      <c r="I502" s="48">
        <f t="shared" si="7"/>
        <v>0</v>
      </c>
    </row>
    <row r="503" spans="1:9">
      <c r="A503" s="25" t="s">
        <v>1249</v>
      </c>
      <c r="B503" s="25" t="s">
        <v>1250</v>
      </c>
      <c r="C503" s="25" t="s">
        <v>872</v>
      </c>
      <c r="D503" s="25" t="s">
        <v>169</v>
      </c>
      <c r="E503" s="25" t="s">
        <v>1251</v>
      </c>
      <c r="F503" s="26">
        <v>-295980.01</v>
      </c>
      <c r="H503" s="50"/>
      <c r="I503" s="48">
        <f t="shared" si="7"/>
        <v>-295980</v>
      </c>
    </row>
    <row r="504" spans="1:9">
      <c r="A504" s="25" t="s">
        <v>1252</v>
      </c>
      <c r="B504" s="25" t="s">
        <v>1253</v>
      </c>
      <c r="C504" s="25" t="s">
        <v>156</v>
      </c>
      <c r="D504" s="25" t="s">
        <v>157</v>
      </c>
      <c r="E504" s="25" t="s">
        <v>100</v>
      </c>
      <c r="F504" s="26">
        <v>0</v>
      </c>
      <c r="H504" s="50"/>
      <c r="I504" s="48">
        <f t="shared" si="7"/>
        <v>0</v>
      </c>
    </row>
    <row r="505" spans="1:9">
      <c r="A505" s="25" t="s">
        <v>1254</v>
      </c>
      <c r="B505" s="25" t="s">
        <v>155</v>
      </c>
      <c r="C505" s="25" t="s">
        <v>156</v>
      </c>
      <c r="D505" s="25" t="s">
        <v>157</v>
      </c>
      <c r="E505" s="25" t="s">
        <v>100</v>
      </c>
      <c r="F505" s="26">
        <v>0</v>
      </c>
      <c r="H505" s="50"/>
      <c r="I505" s="48">
        <f t="shared" si="7"/>
        <v>0</v>
      </c>
    </row>
    <row r="506" spans="1:9">
      <c r="A506" s="25" t="s">
        <v>1255</v>
      </c>
      <c r="B506" s="25" t="s">
        <v>1256</v>
      </c>
      <c r="C506" s="25" t="s">
        <v>156</v>
      </c>
      <c r="D506" s="25" t="s">
        <v>157</v>
      </c>
      <c r="E506" s="25" t="s">
        <v>100</v>
      </c>
      <c r="F506" s="26">
        <v>0</v>
      </c>
      <c r="H506" s="50"/>
      <c r="I506" s="48">
        <f t="shared" si="7"/>
        <v>0</v>
      </c>
    </row>
    <row r="507" spans="1:9">
      <c r="A507" s="25" t="s">
        <v>1257</v>
      </c>
      <c r="B507" s="25" t="s">
        <v>1258</v>
      </c>
      <c r="C507" s="25" t="s">
        <v>156</v>
      </c>
      <c r="D507" s="25" t="s">
        <v>162</v>
      </c>
      <c r="E507" s="25" t="s">
        <v>100</v>
      </c>
      <c r="F507" s="26">
        <v>0</v>
      </c>
      <c r="H507" s="50"/>
      <c r="I507" s="48">
        <f t="shared" si="7"/>
        <v>0</v>
      </c>
    </row>
    <row r="508" spans="1:9">
      <c r="A508" s="25" t="s">
        <v>1259</v>
      </c>
      <c r="B508" s="25" t="s">
        <v>1260</v>
      </c>
      <c r="C508" s="25" t="s">
        <v>156</v>
      </c>
      <c r="D508" s="25" t="s">
        <v>162</v>
      </c>
      <c r="E508" s="25" t="s">
        <v>100</v>
      </c>
      <c r="F508" s="26">
        <v>0</v>
      </c>
      <c r="H508" s="50"/>
      <c r="I508" s="48">
        <f t="shared" si="7"/>
        <v>0</v>
      </c>
    </row>
    <row r="509" spans="1:9">
      <c r="A509" s="25" t="s">
        <v>1261</v>
      </c>
      <c r="B509" s="25" t="s">
        <v>2284</v>
      </c>
      <c r="C509" s="25" t="s">
        <v>156</v>
      </c>
      <c r="D509" s="25" t="s">
        <v>162</v>
      </c>
      <c r="E509" s="25" t="s">
        <v>100</v>
      </c>
      <c r="F509" s="26">
        <v>0</v>
      </c>
      <c r="H509" s="50"/>
      <c r="I509" s="48">
        <f t="shared" si="7"/>
        <v>0</v>
      </c>
    </row>
    <row r="510" spans="1:9">
      <c r="A510" s="25" t="s">
        <v>1263</v>
      </c>
      <c r="B510" s="25" t="s">
        <v>1264</v>
      </c>
      <c r="C510" s="25" t="s">
        <v>156</v>
      </c>
      <c r="D510" s="25" t="s">
        <v>162</v>
      </c>
      <c r="E510" s="25" t="s">
        <v>100</v>
      </c>
      <c r="F510" s="26">
        <v>0</v>
      </c>
      <c r="H510" s="50"/>
      <c r="I510" s="48">
        <f t="shared" si="7"/>
        <v>0</v>
      </c>
    </row>
    <row r="511" spans="1:9">
      <c r="A511" s="25" t="s">
        <v>1265</v>
      </c>
      <c r="B511" s="25" t="s">
        <v>2285</v>
      </c>
      <c r="C511" s="25" t="s">
        <v>156</v>
      </c>
      <c r="D511" s="25" t="s">
        <v>162</v>
      </c>
      <c r="E511" s="25" t="s">
        <v>100</v>
      </c>
      <c r="F511" s="26">
        <v>0</v>
      </c>
      <c r="H511" s="50"/>
      <c r="I511" s="48">
        <f t="shared" si="7"/>
        <v>0</v>
      </c>
    </row>
    <row r="512" spans="1:9">
      <c r="A512" s="25" t="s">
        <v>1267</v>
      </c>
      <c r="B512" s="25" t="s">
        <v>1268</v>
      </c>
      <c r="C512" s="25" t="s">
        <v>156</v>
      </c>
      <c r="D512" s="25" t="s">
        <v>162</v>
      </c>
      <c r="E512" s="25" t="s">
        <v>100</v>
      </c>
      <c r="F512" s="26">
        <v>0</v>
      </c>
      <c r="H512" s="50"/>
      <c r="I512" s="48">
        <f t="shared" si="7"/>
        <v>0</v>
      </c>
    </row>
    <row r="513" spans="1:9">
      <c r="A513" s="25" t="s">
        <v>1269</v>
      </c>
      <c r="B513" s="25" t="s">
        <v>1270</v>
      </c>
      <c r="C513" s="25" t="s">
        <v>156</v>
      </c>
      <c r="D513" s="25" t="s">
        <v>169</v>
      </c>
      <c r="E513" s="25" t="s">
        <v>1271</v>
      </c>
      <c r="F513" s="26">
        <v>0</v>
      </c>
      <c r="H513" s="50"/>
      <c r="I513" s="48">
        <f t="shared" si="7"/>
        <v>0</v>
      </c>
    </row>
    <row r="514" spans="1:9">
      <c r="A514" s="25" t="s">
        <v>1272</v>
      </c>
      <c r="B514" s="25" t="s">
        <v>189</v>
      </c>
      <c r="C514" s="25" t="s">
        <v>156</v>
      </c>
      <c r="D514" s="25" t="s">
        <v>157</v>
      </c>
      <c r="E514" s="25" t="s">
        <v>100</v>
      </c>
      <c r="F514" s="26">
        <v>0</v>
      </c>
      <c r="H514" s="50"/>
      <c r="I514" s="48">
        <f t="shared" si="7"/>
        <v>0</v>
      </c>
    </row>
    <row r="515" spans="1:9">
      <c r="A515" s="25" t="s">
        <v>1273</v>
      </c>
      <c r="B515" s="25" t="s">
        <v>1110</v>
      </c>
      <c r="C515" s="25" t="s">
        <v>156</v>
      </c>
      <c r="D515" s="25" t="s">
        <v>162</v>
      </c>
      <c r="E515" s="25" t="s">
        <v>100</v>
      </c>
      <c r="F515" s="26">
        <v>0</v>
      </c>
      <c r="H515" s="50"/>
      <c r="I515" s="48">
        <f t="shared" si="7"/>
        <v>0</v>
      </c>
    </row>
    <row r="516" spans="1:9">
      <c r="A516" s="25" t="s">
        <v>1274</v>
      </c>
      <c r="B516" s="25" t="s">
        <v>1275</v>
      </c>
      <c r="C516" s="25" t="s">
        <v>156</v>
      </c>
      <c r="D516" s="25" t="s">
        <v>162</v>
      </c>
      <c r="E516" s="25" t="s">
        <v>100</v>
      </c>
      <c r="F516" s="26">
        <v>0</v>
      </c>
      <c r="H516" s="50"/>
      <c r="I516" s="48">
        <f t="shared" ref="I516:I579" si="8">ROUND(F516,0)</f>
        <v>0</v>
      </c>
    </row>
    <row r="517" spans="1:9">
      <c r="A517" s="25" t="s">
        <v>1276</v>
      </c>
      <c r="B517" s="25" t="s">
        <v>1277</v>
      </c>
      <c r="C517" s="25" t="s">
        <v>156</v>
      </c>
      <c r="D517" s="25" t="s">
        <v>162</v>
      </c>
      <c r="E517" s="25" t="s">
        <v>100</v>
      </c>
      <c r="F517" s="26">
        <v>0</v>
      </c>
      <c r="H517" s="50"/>
      <c r="I517" s="48">
        <f t="shared" si="8"/>
        <v>0</v>
      </c>
    </row>
    <row r="518" spans="1:9">
      <c r="A518" s="25" t="s">
        <v>1278</v>
      </c>
      <c r="B518" s="25" t="s">
        <v>1279</v>
      </c>
      <c r="C518" s="25" t="s">
        <v>156</v>
      </c>
      <c r="D518" s="25" t="s">
        <v>162</v>
      </c>
      <c r="E518" s="25" t="s">
        <v>100</v>
      </c>
      <c r="F518" s="26">
        <v>0</v>
      </c>
      <c r="H518" s="50"/>
      <c r="I518" s="48">
        <f t="shared" si="8"/>
        <v>0</v>
      </c>
    </row>
    <row r="519" spans="1:9">
      <c r="A519" s="25" t="s">
        <v>1280</v>
      </c>
      <c r="B519" s="25" t="s">
        <v>2268</v>
      </c>
      <c r="C519" s="25" t="s">
        <v>156</v>
      </c>
      <c r="D519" s="25" t="s">
        <v>162</v>
      </c>
      <c r="E519" s="25" t="s">
        <v>100</v>
      </c>
      <c r="F519" s="26">
        <v>0</v>
      </c>
      <c r="H519" s="50"/>
      <c r="I519" s="48">
        <f t="shared" si="8"/>
        <v>0</v>
      </c>
    </row>
    <row r="520" spans="1:9">
      <c r="A520" s="25" t="s">
        <v>1282</v>
      </c>
      <c r="B520" s="25" t="s">
        <v>251</v>
      </c>
      <c r="C520" s="25" t="s">
        <v>156</v>
      </c>
      <c r="D520" s="25" t="s">
        <v>169</v>
      </c>
      <c r="E520" s="25" t="s">
        <v>1283</v>
      </c>
      <c r="F520" s="26">
        <v>0</v>
      </c>
      <c r="H520" s="50"/>
      <c r="I520" s="48">
        <f t="shared" si="8"/>
        <v>0</v>
      </c>
    </row>
    <row r="521" spans="1:9">
      <c r="A521" s="25" t="s">
        <v>1284</v>
      </c>
      <c r="B521" s="25" t="s">
        <v>278</v>
      </c>
      <c r="C521" s="25" t="s">
        <v>156</v>
      </c>
      <c r="D521" s="25" t="s">
        <v>169</v>
      </c>
      <c r="E521" s="25" t="s">
        <v>1285</v>
      </c>
      <c r="F521" s="26">
        <v>0</v>
      </c>
      <c r="H521" s="50"/>
      <c r="I521" s="48">
        <f t="shared" si="8"/>
        <v>0</v>
      </c>
    </row>
    <row r="522" spans="1:9">
      <c r="A522" s="25" t="s">
        <v>1286</v>
      </c>
      <c r="B522" s="25" t="s">
        <v>281</v>
      </c>
      <c r="C522" s="25" t="s">
        <v>156</v>
      </c>
      <c r="D522" s="25" t="s">
        <v>157</v>
      </c>
      <c r="E522" s="25" t="s">
        <v>100</v>
      </c>
      <c r="F522" s="26">
        <v>0</v>
      </c>
      <c r="H522" s="50"/>
      <c r="I522" s="48">
        <f t="shared" si="8"/>
        <v>0</v>
      </c>
    </row>
    <row r="523" spans="1:9">
      <c r="A523" s="25" t="s">
        <v>1287</v>
      </c>
      <c r="B523" s="25" t="s">
        <v>1288</v>
      </c>
      <c r="C523" s="25" t="s">
        <v>156</v>
      </c>
      <c r="D523" s="25" t="s">
        <v>157</v>
      </c>
      <c r="E523" s="25" t="s">
        <v>100</v>
      </c>
      <c r="F523" s="26">
        <v>0</v>
      </c>
      <c r="H523" s="50"/>
      <c r="I523" s="48">
        <f t="shared" si="8"/>
        <v>0</v>
      </c>
    </row>
    <row r="524" spans="1:9">
      <c r="A524" s="25" t="s">
        <v>1289</v>
      </c>
      <c r="B524" s="25" t="s">
        <v>47</v>
      </c>
      <c r="C524" s="25" t="s">
        <v>156</v>
      </c>
      <c r="D524" s="25" t="s">
        <v>162</v>
      </c>
      <c r="E524" s="25" t="s">
        <v>100</v>
      </c>
      <c r="F524" s="26">
        <v>31237.5</v>
      </c>
      <c r="H524" s="50"/>
      <c r="I524" s="48">
        <f t="shared" si="8"/>
        <v>31238</v>
      </c>
    </row>
    <row r="525" spans="1:9">
      <c r="A525" s="25" t="s">
        <v>1290</v>
      </c>
      <c r="B525" s="25" t="s">
        <v>1219</v>
      </c>
      <c r="C525" s="25" t="s">
        <v>156</v>
      </c>
      <c r="D525" s="25" t="s">
        <v>162</v>
      </c>
      <c r="E525" s="25" t="s">
        <v>100</v>
      </c>
      <c r="F525" s="26">
        <v>0</v>
      </c>
      <c r="H525" s="50"/>
      <c r="I525" s="48">
        <f t="shared" si="8"/>
        <v>0</v>
      </c>
    </row>
    <row r="526" spans="1:9">
      <c r="A526" s="25" t="s">
        <v>1292</v>
      </c>
      <c r="B526" s="25" t="s">
        <v>1293</v>
      </c>
      <c r="C526" s="25" t="s">
        <v>156</v>
      </c>
      <c r="D526" s="25" t="s">
        <v>162</v>
      </c>
      <c r="E526" s="25" t="s">
        <v>100</v>
      </c>
      <c r="F526" s="26">
        <v>17567.54</v>
      </c>
      <c r="H526" s="50"/>
      <c r="I526" s="48">
        <f t="shared" si="8"/>
        <v>17568</v>
      </c>
    </row>
    <row r="527" spans="1:9">
      <c r="A527" s="25" t="s">
        <v>1294</v>
      </c>
      <c r="B527" s="25" t="s">
        <v>1295</v>
      </c>
      <c r="C527" s="25" t="s">
        <v>156</v>
      </c>
      <c r="D527" s="25" t="s">
        <v>162</v>
      </c>
      <c r="E527" s="25" t="s">
        <v>100</v>
      </c>
      <c r="F527" s="26">
        <v>0</v>
      </c>
      <c r="H527" s="50"/>
      <c r="I527" s="48">
        <f t="shared" si="8"/>
        <v>0</v>
      </c>
    </row>
    <row r="528" spans="1:9">
      <c r="A528" s="25" t="s">
        <v>1296</v>
      </c>
      <c r="B528" s="25" t="s">
        <v>1297</v>
      </c>
      <c r="C528" s="25" t="s">
        <v>156</v>
      </c>
      <c r="D528" s="25" t="s">
        <v>162</v>
      </c>
      <c r="E528" s="25" t="s">
        <v>100</v>
      </c>
      <c r="F528" s="26">
        <v>0</v>
      </c>
      <c r="H528" s="50"/>
      <c r="I528" s="48">
        <f t="shared" si="8"/>
        <v>0</v>
      </c>
    </row>
    <row r="529" spans="1:9">
      <c r="A529" s="25" t="s">
        <v>1298</v>
      </c>
      <c r="B529" s="25" t="s">
        <v>1299</v>
      </c>
      <c r="C529" s="25" t="s">
        <v>156</v>
      </c>
      <c r="D529" s="25" t="s">
        <v>162</v>
      </c>
      <c r="E529" s="25" t="s">
        <v>100</v>
      </c>
      <c r="F529" s="26">
        <v>0</v>
      </c>
      <c r="H529" s="50"/>
      <c r="I529" s="48">
        <f t="shared" si="8"/>
        <v>0</v>
      </c>
    </row>
    <row r="530" spans="1:9">
      <c r="A530" s="25" t="s">
        <v>1300</v>
      </c>
      <c r="B530" s="25" t="s">
        <v>1301</v>
      </c>
      <c r="C530" s="25" t="s">
        <v>156</v>
      </c>
      <c r="D530" s="25" t="s">
        <v>162</v>
      </c>
      <c r="E530" s="25" t="s">
        <v>100</v>
      </c>
      <c r="F530" s="26">
        <v>0</v>
      </c>
      <c r="H530" s="50"/>
      <c r="I530" s="48">
        <f t="shared" si="8"/>
        <v>0</v>
      </c>
    </row>
    <row r="531" spans="1:9">
      <c r="A531" s="25" t="s">
        <v>1302</v>
      </c>
      <c r="B531" s="25" t="s">
        <v>1303</v>
      </c>
      <c r="C531" s="25" t="s">
        <v>156</v>
      </c>
      <c r="D531" s="25" t="s">
        <v>162</v>
      </c>
      <c r="E531" s="25" t="s">
        <v>100</v>
      </c>
      <c r="F531" s="26">
        <v>10982.82</v>
      </c>
      <c r="H531" s="50"/>
      <c r="I531" s="48">
        <f t="shared" si="8"/>
        <v>10983</v>
      </c>
    </row>
    <row r="532" spans="1:9">
      <c r="A532" s="25" t="s">
        <v>1304</v>
      </c>
      <c r="B532" s="25" t="s">
        <v>664</v>
      </c>
      <c r="C532" s="25" t="s">
        <v>156</v>
      </c>
      <c r="D532" s="25" t="s">
        <v>162</v>
      </c>
      <c r="E532" s="25" t="s">
        <v>100</v>
      </c>
      <c r="F532" s="26">
        <v>14159.63</v>
      </c>
      <c r="H532" s="50"/>
      <c r="I532" s="48">
        <f t="shared" si="8"/>
        <v>14160</v>
      </c>
    </row>
    <row r="533" spans="1:9">
      <c r="A533" s="25" t="s">
        <v>1305</v>
      </c>
      <c r="B533" s="25" t="s">
        <v>2286</v>
      </c>
      <c r="C533" s="25" t="s">
        <v>156</v>
      </c>
      <c r="D533" s="25" t="s">
        <v>162</v>
      </c>
      <c r="E533" s="25" t="s">
        <v>100</v>
      </c>
      <c r="F533" s="26">
        <v>504.19</v>
      </c>
      <c r="H533" s="50"/>
      <c r="I533" s="48">
        <f t="shared" si="8"/>
        <v>504</v>
      </c>
    </row>
    <row r="534" spans="1:9">
      <c r="A534" s="25" t="s">
        <v>1309</v>
      </c>
      <c r="B534" s="25" t="s">
        <v>2287</v>
      </c>
      <c r="C534" s="25" t="s">
        <v>156</v>
      </c>
      <c r="D534" s="25" t="s">
        <v>162</v>
      </c>
      <c r="E534" s="25" t="s">
        <v>100</v>
      </c>
      <c r="F534" s="26">
        <v>0</v>
      </c>
      <c r="H534" s="50"/>
      <c r="I534" s="48">
        <f t="shared" si="8"/>
        <v>0</v>
      </c>
    </row>
    <row r="535" spans="1:9">
      <c r="A535" s="25" t="s">
        <v>1311</v>
      </c>
      <c r="B535" s="25" t="s">
        <v>1310</v>
      </c>
      <c r="C535" s="25" t="s">
        <v>156</v>
      </c>
      <c r="D535" s="25" t="s">
        <v>162</v>
      </c>
      <c r="E535" s="25" t="s">
        <v>100</v>
      </c>
      <c r="F535" s="26">
        <v>0</v>
      </c>
      <c r="H535" s="50"/>
      <c r="I535" s="48">
        <f t="shared" si="8"/>
        <v>0</v>
      </c>
    </row>
    <row r="536" spans="1:9">
      <c r="A536" s="25" t="s">
        <v>1313</v>
      </c>
      <c r="B536" s="25" t="s">
        <v>1314</v>
      </c>
      <c r="C536" s="25" t="s">
        <v>156</v>
      </c>
      <c r="D536" s="25" t="s">
        <v>162</v>
      </c>
      <c r="E536" s="25" t="s">
        <v>100</v>
      </c>
      <c r="F536" s="26">
        <v>11332.5</v>
      </c>
      <c r="H536" s="50"/>
      <c r="I536" s="48">
        <f t="shared" si="8"/>
        <v>11333</v>
      </c>
    </row>
    <row r="537" spans="1:9">
      <c r="A537" s="25" t="s">
        <v>1315</v>
      </c>
      <c r="B537" s="25" t="s">
        <v>1316</v>
      </c>
      <c r="C537" s="25" t="s">
        <v>156</v>
      </c>
      <c r="D537" s="25" t="s">
        <v>162</v>
      </c>
      <c r="E537" s="25" t="s">
        <v>100</v>
      </c>
      <c r="F537" s="26">
        <v>0</v>
      </c>
      <c r="H537" s="50"/>
      <c r="I537" s="48">
        <f t="shared" si="8"/>
        <v>0</v>
      </c>
    </row>
    <row r="538" spans="1:9">
      <c r="A538" s="25" t="s">
        <v>1317</v>
      </c>
      <c r="B538" s="25" t="s">
        <v>88</v>
      </c>
      <c r="C538" s="25" t="s">
        <v>156</v>
      </c>
      <c r="D538" s="25" t="s">
        <v>162</v>
      </c>
      <c r="E538" s="25" t="s">
        <v>100</v>
      </c>
      <c r="F538" s="26">
        <v>0</v>
      </c>
      <c r="H538" s="50"/>
      <c r="I538" s="48">
        <f t="shared" si="8"/>
        <v>0</v>
      </c>
    </row>
    <row r="539" spans="1:9">
      <c r="A539" s="25" t="s">
        <v>1319</v>
      </c>
      <c r="B539" s="25" t="s">
        <v>1320</v>
      </c>
      <c r="C539" s="25" t="s">
        <v>156</v>
      </c>
      <c r="D539" s="25" t="s">
        <v>169</v>
      </c>
      <c r="E539" s="25" t="s">
        <v>1321</v>
      </c>
      <c r="F539" s="26">
        <v>85784.18</v>
      </c>
      <c r="H539" s="50"/>
      <c r="I539" s="48">
        <f t="shared" si="8"/>
        <v>85784</v>
      </c>
    </row>
    <row r="540" spans="1:9">
      <c r="A540" s="25" t="s">
        <v>1322</v>
      </c>
      <c r="B540" s="25" t="s">
        <v>1323</v>
      </c>
      <c r="C540" s="25" t="s">
        <v>156</v>
      </c>
      <c r="D540" s="25" t="s">
        <v>157</v>
      </c>
      <c r="E540" s="25" t="s">
        <v>100</v>
      </c>
      <c r="F540" s="26">
        <v>0</v>
      </c>
      <c r="H540" s="50"/>
      <c r="I540" s="48">
        <f t="shared" si="8"/>
        <v>0</v>
      </c>
    </row>
    <row r="541" spans="1:9">
      <c r="A541" s="25" t="s">
        <v>1324</v>
      </c>
      <c r="B541" s="25" t="s">
        <v>1325</v>
      </c>
      <c r="C541" s="25" t="s">
        <v>156</v>
      </c>
      <c r="D541" s="25" t="s">
        <v>162</v>
      </c>
      <c r="E541" s="25" t="s">
        <v>100</v>
      </c>
      <c r="F541" s="26">
        <v>0</v>
      </c>
      <c r="H541" s="50"/>
      <c r="I541" s="48">
        <f t="shared" si="8"/>
        <v>0</v>
      </c>
    </row>
    <row r="542" spans="1:9">
      <c r="A542" s="25" t="s">
        <v>1326</v>
      </c>
      <c r="B542" s="25" t="s">
        <v>1327</v>
      </c>
      <c r="C542" s="25" t="s">
        <v>156</v>
      </c>
      <c r="D542" s="25" t="s">
        <v>162</v>
      </c>
      <c r="E542" s="25" t="s">
        <v>100</v>
      </c>
      <c r="F542" s="26">
        <v>0</v>
      </c>
      <c r="H542" s="50"/>
      <c r="I542" s="48">
        <f t="shared" si="8"/>
        <v>0</v>
      </c>
    </row>
    <row r="543" spans="1:9">
      <c r="A543" s="25" t="s">
        <v>1328</v>
      </c>
      <c r="B543" s="25" t="s">
        <v>2288</v>
      </c>
      <c r="C543" s="25" t="s">
        <v>156</v>
      </c>
      <c r="D543" s="25" t="s">
        <v>162</v>
      </c>
      <c r="E543" s="25" t="s">
        <v>100</v>
      </c>
      <c r="F543" s="26">
        <v>0</v>
      </c>
      <c r="H543" s="50"/>
      <c r="I543" s="48">
        <f t="shared" si="8"/>
        <v>0</v>
      </c>
    </row>
    <row r="544" spans="1:9">
      <c r="A544" s="25" t="s">
        <v>1330</v>
      </c>
      <c r="B544" s="25" t="s">
        <v>2289</v>
      </c>
      <c r="C544" s="25" t="s">
        <v>156</v>
      </c>
      <c r="D544" s="25" t="s">
        <v>162</v>
      </c>
      <c r="E544" s="25" t="s">
        <v>100</v>
      </c>
      <c r="F544" s="26">
        <v>0</v>
      </c>
      <c r="H544" s="50"/>
      <c r="I544" s="48">
        <f t="shared" si="8"/>
        <v>0</v>
      </c>
    </row>
    <row r="545" spans="1:9">
      <c r="A545" s="25" t="s">
        <v>1332</v>
      </c>
      <c r="B545" s="25" t="s">
        <v>1333</v>
      </c>
      <c r="C545" s="25" t="s">
        <v>156</v>
      </c>
      <c r="D545" s="25" t="s">
        <v>169</v>
      </c>
      <c r="E545" s="25" t="s">
        <v>1334</v>
      </c>
      <c r="F545" s="26">
        <v>0</v>
      </c>
      <c r="H545" s="50"/>
      <c r="I545" s="48">
        <f t="shared" si="8"/>
        <v>0</v>
      </c>
    </row>
    <row r="546" spans="1:9">
      <c r="A546" s="25" t="s">
        <v>1335</v>
      </c>
      <c r="B546" s="25" t="s">
        <v>1336</v>
      </c>
      <c r="C546" s="25" t="s">
        <v>156</v>
      </c>
      <c r="D546" s="25" t="s">
        <v>157</v>
      </c>
      <c r="E546" s="25" t="s">
        <v>100</v>
      </c>
      <c r="F546" s="26">
        <v>0</v>
      </c>
      <c r="H546" s="50"/>
      <c r="I546" s="48">
        <f t="shared" si="8"/>
        <v>0</v>
      </c>
    </row>
    <row r="547" spans="1:9">
      <c r="A547" s="25" t="s">
        <v>1337</v>
      </c>
      <c r="B547" s="25" t="s">
        <v>1338</v>
      </c>
      <c r="C547" s="25" t="s">
        <v>156</v>
      </c>
      <c r="D547" s="25" t="s">
        <v>162</v>
      </c>
      <c r="E547" s="25" t="s">
        <v>100</v>
      </c>
      <c r="F547" s="26">
        <v>2460</v>
      </c>
      <c r="H547" s="50"/>
      <c r="I547" s="48">
        <f t="shared" si="8"/>
        <v>2460</v>
      </c>
    </row>
    <row r="548" spans="1:9">
      <c r="A548" s="25" t="s">
        <v>1339</v>
      </c>
      <c r="B548" s="25" t="s">
        <v>1340</v>
      </c>
      <c r="C548" s="25" t="s">
        <v>156</v>
      </c>
      <c r="D548" s="25" t="s">
        <v>162</v>
      </c>
      <c r="E548" s="25" t="s">
        <v>100</v>
      </c>
      <c r="F548" s="26">
        <v>39361</v>
      </c>
      <c r="H548" s="50"/>
      <c r="I548" s="48">
        <f t="shared" si="8"/>
        <v>39361</v>
      </c>
    </row>
    <row r="549" spans="1:9">
      <c r="A549" s="25" t="s">
        <v>1341</v>
      </c>
      <c r="B549" s="25" t="s">
        <v>1342</v>
      </c>
      <c r="C549" s="25" t="s">
        <v>156</v>
      </c>
      <c r="D549" s="25" t="s">
        <v>162</v>
      </c>
      <c r="E549" s="25" t="s">
        <v>100</v>
      </c>
      <c r="F549" s="26">
        <v>0</v>
      </c>
      <c r="H549" s="50"/>
      <c r="I549" s="48">
        <f t="shared" si="8"/>
        <v>0</v>
      </c>
    </row>
    <row r="550" spans="1:9">
      <c r="A550" s="25" t="s">
        <v>1343</v>
      </c>
      <c r="B550" s="25" t="s">
        <v>1344</v>
      </c>
      <c r="C550" s="25" t="s">
        <v>156</v>
      </c>
      <c r="D550" s="25" t="s">
        <v>162</v>
      </c>
      <c r="E550" s="25" t="s">
        <v>100</v>
      </c>
      <c r="F550" s="26">
        <v>0</v>
      </c>
      <c r="H550" s="50"/>
      <c r="I550" s="48">
        <f t="shared" si="8"/>
        <v>0</v>
      </c>
    </row>
    <row r="551" spans="1:9">
      <c r="A551" s="25" t="s">
        <v>1345</v>
      </c>
      <c r="B551" s="25" t="s">
        <v>1346</v>
      </c>
      <c r="C551" s="25" t="s">
        <v>156</v>
      </c>
      <c r="D551" s="25" t="s">
        <v>162</v>
      </c>
      <c r="E551" s="25" t="s">
        <v>100</v>
      </c>
      <c r="F551" s="26">
        <v>0</v>
      </c>
      <c r="H551" s="50"/>
      <c r="I551" s="48">
        <f t="shared" si="8"/>
        <v>0</v>
      </c>
    </row>
    <row r="552" spans="1:9">
      <c r="A552" s="25" t="s">
        <v>1347</v>
      </c>
      <c r="B552" s="25" t="s">
        <v>1348</v>
      </c>
      <c r="C552" s="25" t="s">
        <v>156</v>
      </c>
      <c r="D552" s="25" t="s">
        <v>162</v>
      </c>
      <c r="E552" s="25" t="s">
        <v>100</v>
      </c>
      <c r="F552" s="26">
        <v>0</v>
      </c>
      <c r="H552" s="50"/>
      <c r="I552" s="48">
        <f t="shared" si="8"/>
        <v>0</v>
      </c>
    </row>
    <row r="553" spans="1:9">
      <c r="A553" s="25" t="s">
        <v>1349</v>
      </c>
      <c r="B553" s="25" t="s">
        <v>1350</v>
      </c>
      <c r="C553" s="25" t="s">
        <v>156</v>
      </c>
      <c r="D553" s="25" t="s">
        <v>162</v>
      </c>
      <c r="E553" s="25" t="s">
        <v>100</v>
      </c>
      <c r="F553" s="26">
        <v>0</v>
      </c>
      <c r="H553" s="50"/>
      <c r="I553" s="48">
        <f t="shared" si="8"/>
        <v>0</v>
      </c>
    </row>
    <row r="554" spans="1:9">
      <c r="A554" s="25" t="s">
        <v>1351</v>
      </c>
      <c r="B554" s="25" t="s">
        <v>1352</v>
      </c>
      <c r="C554" s="25" t="s">
        <v>156</v>
      </c>
      <c r="D554" s="25" t="s">
        <v>162</v>
      </c>
      <c r="E554" s="25" t="s">
        <v>100</v>
      </c>
      <c r="F554" s="26">
        <v>0</v>
      </c>
      <c r="H554" s="50"/>
      <c r="I554" s="48">
        <f t="shared" si="8"/>
        <v>0</v>
      </c>
    </row>
    <row r="555" spans="1:9">
      <c r="A555" s="25" t="s">
        <v>1353</v>
      </c>
      <c r="B555" s="25" t="s">
        <v>1354</v>
      </c>
      <c r="C555" s="25" t="s">
        <v>156</v>
      </c>
      <c r="D555" s="25" t="s">
        <v>162</v>
      </c>
      <c r="E555" s="25" t="s">
        <v>100</v>
      </c>
      <c r="F555" s="26">
        <v>0</v>
      </c>
      <c r="H555" s="50"/>
      <c r="I555" s="48">
        <f t="shared" si="8"/>
        <v>0</v>
      </c>
    </row>
    <row r="556" spans="1:9">
      <c r="A556" s="25" t="s">
        <v>1355</v>
      </c>
      <c r="B556" s="25" t="s">
        <v>1356</v>
      </c>
      <c r="C556" s="25" t="s">
        <v>156</v>
      </c>
      <c r="D556" s="25" t="s">
        <v>162</v>
      </c>
      <c r="E556" s="25" t="s">
        <v>100</v>
      </c>
      <c r="F556" s="26">
        <v>0</v>
      </c>
      <c r="H556" s="50"/>
      <c r="I556" s="48">
        <f t="shared" si="8"/>
        <v>0</v>
      </c>
    </row>
    <row r="557" spans="1:9">
      <c r="A557" s="25" t="s">
        <v>1357</v>
      </c>
      <c r="B557" s="25" t="s">
        <v>1358</v>
      </c>
      <c r="C557" s="25" t="s">
        <v>156</v>
      </c>
      <c r="D557" s="25" t="s">
        <v>162</v>
      </c>
      <c r="E557" s="25" t="s">
        <v>100</v>
      </c>
      <c r="F557" s="26">
        <v>0</v>
      </c>
      <c r="H557" s="50"/>
      <c r="I557" s="48">
        <f t="shared" si="8"/>
        <v>0</v>
      </c>
    </row>
    <row r="558" spans="1:9">
      <c r="A558" s="25" t="s">
        <v>1359</v>
      </c>
      <c r="B558" s="25" t="s">
        <v>1360</v>
      </c>
      <c r="C558" s="25" t="s">
        <v>156</v>
      </c>
      <c r="D558" s="25" t="s">
        <v>162</v>
      </c>
      <c r="E558" s="25" t="s">
        <v>100</v>
      </c>
      <c r="F558" s="26">
        <v>0</v>
      </c>
      <c r="H558" s="50"/>
      <c r="I558" s="48">
        <f t="shared" si="8"/>
        <v>0</v>
      </c>
    </row>
    <row r="559" spans="1:9">
      <c r="A559" s="25" t="s">
        <v>1361</v>
      </c>
      <c r="B559" s="25" t="s">
        <v>1362</v>
      </c>
      <c r="C559" s="25" t="s">
        <v>156</v>
      </c>
      <c r="D559" s="25" t="s">
        <v>162</v>
      </c>
      <c r="E559" s="25" t="s">
        <v>100</v>
      </c>
      <c r="F559" s="26">
        <v>0</v>
      </c>
      <c r="H559" s="50"/>
      <c r="I559" s="48">
        <f t="shared" si="8"/>
        <v>0</v>
      </c>
    </row>
    <row r="560" spans="1:9">
      <c r="A560" s="25" t="s">
        <v>1363</v>
      </c>
      <c r="B560" s="25" t="s">
        <v>1364</v>
      </c>
      <c r="C560" s="25" t="s">
        <v>156</v>
      </c>
      <c r="D560" s="25" t="s">
        <v>162</v>
      </c>
      <c r="E560" s="25" t="s">
        <v>100</v>
      </c>
      <c r="F560" s="26">
        <v>0</v>
      </c>
      <c r="H560" s="50"/>
      <c r="I560" s="48">
        <f t="shared" si="8"/>
        <v>0</v>
      </c>
    </row>
    <row r="561" spans="1:9">
      <c r="A561" s="25" t="s">
        <v>1365</v>
      </c>
      <c r="B561" s="25" t="s">
        <v>2269</v>
      </c>
      <c r="C561" s="25" t="s">
        <v>156</v>
      </c>
      <c r="D561" s="25" t="s">
        <v>162</v>
      </c>
      <c r="E561" s="25" t="s">
        <v>100</v>
      </c>
      <c r="F561" s="26">
        <v>0</v>
      </c>
      <c r="H561" s="50"/>
      <c r="I561" s="48">
        <f t="shared" si="8"/>
        <v>0</v>
      </c>
    </row>
    <row r="562" spans="1:9">
      <c r="A562" s="25" t="s">
        <v>1367</v>
      </c>
      <c r="B562" s="25" t="s">
        <v>495</v>
      </c>
      <c r="C562" s="25" t="s">
        <v>156</v>
      </c>
      <c r="D562" s="25" t="s">
        <v>162</v>
      </c>
      <c r="E562" s="25" t="s">
        <v>100</v>
      </c>
      <c r="F562" s="26">
        <v>0</v>
      </c>
      <c r="H562" s="50"/>
      <c r="I562" s="48">
        <f t="shared" si="8"/>
        <v>0</v>
      </c>
    </row>
    <row r="563" spans="1:9">
      <c r="A563" s="25" t="s">
        <v>1368</v>
      </c>
      <c r="B563" s="25" t="s">
        <v>1369</v>
      </c>
      <c r="C563" s="25" t="s">
        <v>156</v>
      </c>
      <c r="D563" s="25" t="s">
        <v>162</v>
      </c>
      <c r="E563" s="25" t="s">
        <v>100</v>
      </c>
      <c r="F563" s="26">
        <v>0</v>
      </c>
      <c r="H563" s="50"/>
      <c r="I563" s="48">
        <f t="shared" si="8"/>
        <v>0</v>
      </c>
    </row>
    <row r="564" spans="1:9">
      <c r="A564" s="25" t="s">
        <v>1370</v>
      </c>
      <c r="B564" s="25" t="s">
        <v>2290</v>
      </c>
      <c r="C564" s="25" t="s">
        <v>156</v>
      </c>
      <c r="D564" s="25" t="s">
        <v>162</v>
      </c>
      <c r="E564" s="25" t="s">
        <v>100</v>
      </c>
      <c r="F564" s="26">
        <v>0</v>
      </c>
      <c r="H564" s="50"/>
      <c r="I564" s="48">
        <f t="shared" si="8"/>
        <v>0</v>
      </c>
    </row>
    <row r="565" spans="1:9">
      <c r="A565" s="25" t="s">
        <v>1371</v>
      </c>
      <c r="B565" s="25" t="s">
        <v>2291</v>
      </c>
      <c r="C565" s="25" t="s">
        <v>156</v>
      </c>
      <c r="D565" s="25" t="s">
        <v>162</v>
      </c>
      <c r="E565" s="25" t="s">
        <v>100</v>
      </c>
      <c r="F565" s="26">
        <v>0</v>
      </c>
      <c r="H565" s="50"/>
      <c r="I565" s="48">
        <f t="shared" si="8"/>
        <v>0</v>
      </c>
    </row>
    <row r="566" spans="1:9">
      <c r="A566" s="25" t="s">
        <v>1373</v>
      </c>
      <c r="B566" s="25" t="s">
        <v>1374</v>
      </c>
      <c r="C566" s="25" t="s">
        <v>156</v>
      </c>
      <c r="D566" s="25" t="s">
        <v>169</v>
      </c>
      <c r="E566" s="25" t="s">
        <v>1375</v>
      </c>
      <c r="F566" s="26">
        <v>41821</v>
      </c>
      <c r="H566" s="50"/>
      <c r="I566" s="48">
        <f t="shared" si="8"/>
        <v>41821</v>
      </c>
    </row>
    <row r="567" spans="1:9">
      <c r="A567" s="25" t="s">
        <v>1376</v>
      </c>
      <c r="B567" s="25" t="s">
        <v>1377</v>
      </c>
      <c r="C567" s="25" t="s">
        <v>156</v>
      </c>
      <c r="D567" s="25" t="s">
        <v>157</v>
      </c>
      <c r="E567" s="25" t="s">
        <v>100</v>
      </c>
      <c r="F567" s="26">
        <v>0</v>
      </c>
      <c r="H567" s="50"/>
      <c r="I567" s="48">
        <f t="shared" si="8"/>
        <v>0</v>
      </c>
    </row>
    <row r="568" spans="1:9">
      <c r="A568" s="25" t="s">
        <v>1378</v>
      </c>
      <c r="B568" s="25" t="s">
        <v>2270</v>
      </c>
      <c r="C568" s="25" t="s">
        <v>156</v>
      </c>
      <c r="D568" s="25" t="s">
        <v>162</v>
      </c>
      <c r="E568" s="25" t="s">
        <v>100</v>
      </c>
      <c r="F568" s="26">
        <v>0</v>
      </c>
      <c r="H568" s="50"/>
      <c r="I568" s="48">
        <f t="shared" si="8"/>
        <v>0</v>
      </c>
    </row>
    <row r="569" spans="1:9">
      <c r="A569" s="25" t="s">
        <v>1380</v>
      </c>
      <c r="B569" s="25" t="s">
        <v>1381</v>
      </c>
      <c r="C569" s="25" t="s">
        <v>156</v>
      </c>
      <c r="D569" s="25" t="s">
        <v>169</v>
      </c>
      <c r="E569" s="25" t="s">
        <v>1382</v>
      </c>
      <c r="F569" s="26">
        <v>0</v>
      </c>
      <c r="H569" s="50"/>
      <c r="I569" s="48">
        <f t="shared" si="8"/>
        <v>0</v>
      </c>
    </row>
    <row r="570" spans="1:9">
      <c r="A570" s="25" t="s">
        <v>1383</v>
      </c>
      <c r="B570" s="25" t="s">
        <v>1384</v>
      </c>
      <c r="C570" s="25" t="s">
        <v>156</v>
      </c>
      <c r="D570" s="25" t="s">
        <v>157</v>
      </c>
      <c r="E570" s="25" t="s">
        <v>100</v>
      </c>
      <c r="F570" s="26">
        <v>0</v>
      </c>
      <c r="H570" s="50"/>
      <c r="I570" s="48">
        <f t="shared" si="8"/>
        <v>0</v>
      </c>
    </row>
    <row r="571" spans="1:9">
      <c r="A571" s="25" t="s">
        <v>1385</v>
      </c>
      <c r="B571" s="25" t="s">
        <v>2292</v>
      </c>
      <c r="C571" s="25" t="s">
        <v>156</v>
      </c>
      <c r="D571" s="25" t="s">
        <v>162</v>
      </c>
      <c r="E571" s="25" t="s">
        <v>100</v>
      </c>
      <c r="F571" s="26">
        <v>8937.5</v>
      </c>
      <c r="H571" s="50"/>
      <c r="I571" s="48">
        <f t="shared" si="8"/>
        <v>8938</v>
      </c>
    </row>
    <row r="572" spans="1:9">
      <c r="A572" s="25" t="s">
        <v>1387</v>
      </c>
      <c r="B572" s="25" t="s">
        <v>2293</v>
      </c>
      <c r="C572" s="25" t="s">
        <v>156</v>
      </c>
      <c r="D572" s="25" t="s">
        <v>162</v>
      </c>
      <c r="E572" s="25" t="s">
        <v>100</v>
      </c>
      <c r="F572" s="26">
        <v>0</v>
      </c>
      <c r="H572" s="50"/>
      <c r="I572" s="48">
        <f t="shared" si="8"/>
        <v>0</v>
      </c>
    </row>
    <row r="573" spans="1:9">
      <c r="A573" s="25" t="s">
        <v>1389</v>
      </c>
      <c r="B573" s="25" t="s">
        <v>1390</v>
      </c>
      <c r="C573" s="25" t="s">
        <v>156</v>
      </c>
      <c r="D573" s="25" t="s">
        <v>162</v>
      </c>
      <c r="E573" s="25" t="s">
        <v>100</v>
      </c>
      <c r="F573" s="26">
        <v>0</v>
      </c>
      <c r="H573" s="50"/>
      <c r="I573" s="48">
        <f t="shared" si="8"/>
        <v>0</v>
      </c>
    </row>
    <row r="574" spans="1:9">
      <c r="A574" s="25" t="s">
        <v>1391</v>
      </c>
      <c r="B574" s="25" t="s">
        <v>1392</v>
      </c>
      <c r="C574" s="25" t="s">
        <v>156</v>
      </c>
      <c r="D574" s="25" t="s">
        <v>169</v>
      </c>
      <c r="E574" s="25" t="s">
        <v>1393</v>
      </c>
      <c r="F574" s="26">
        <v>8937.5</v>
      </c>
      <c r="H574" s="50"/>
      <c r="I574" s="48">
        <f t="shared" si="8"/>
        <v>8938</v>
      </c>
    </row>
    <row r="575" spans="1:9">
      <c r="A575" s="25" t="s">
        <v>1394</v>
      </c>
      <c r="B575" s="25" t="s">
        <v>1152</v>
      </c>
      <c r="C575" s="25" t="s">
        <v>156</v>
      </c>
      <c r="D575" s="25" t="s">
        <v>169</v>
      </c>
      <c r="E575" s="25" t="s">
        <v>1395</v>
      </c>
      <c r="F575" s="26">
        <v>136542.68</v>
      </c>
      <c r="H575" s="50"/>
      <c r="I575" s="48">
        <f t="shared" si="8"/>
        <v>136543</v>
      </c>
    </row>
    <row r="576" spans="1:9">
      <c r="A576" s="25" t="s">
        <v>1396</v>
      </c>
      <c r="B576" s="25" t="s">
        <v>1397</v>
      </c>
      <c r="C576" s="25" t="s">
        <v>156</v>
      </c>
      <c r="D576" s="25" t="s">
        <v>169</v>
      </c>
      <c r="E576" s="25" t="s">
        <v>1398</v>
      </c>
      <c r="F576" s="26">
        <v>136542.68</v>
      </c>
      <c r="H576" s="50"/>
      <c r="I576" s="48">
        <f t="shared" si="8"/>
        <v>136543</v>
      </c>
    </row>
    <row r="577" spans="1:9">
      <c r="A577" s="25" t="s">
        <v>1399</v>
      </c>
      <c r="B577" s="25" t="s">
        <v>1400</v>
      </c>
      <c r="C577" s="25" t="s">
        <v>872</v>
      </c>
      <c r="D577" s="25" t="s">
        <v>157</v>
      </c>
      <c r="E577" s="25" t="s">
        <v>100</v>
      </c>
      <c r="F577" s="26">
        <v>0</v>
      </c>
      <c r="H577" s="50"/>
      <c r="I577" s="48">
        <f t="shared" si="8"/>
        <v>0</v>
      </c>
    </row>
    <row r="578" spans="1:9">
      <c r="A578" s="25" t="s">
        <v>1401</v>
      </c>
      <c r="B578" s="25" t="s">
        <v>1402</v>
      </c>
      <c r="C578" s="25" t="s">
        <v>872</v>
      </c>
      <c r="D578" s="25" t="s">
        <v>162</v>
      </c>
      <c r="E578" s="25" t="s">
        <v>100</v>
      </c>
      <c r="F578" s="26">
        <v>0</v>
      </c>
      <c r="H578" s="50"/>
      <c r="I578" s="48">
        <f t="shared" si="8"/>
        <v>0</v>
      </c>
    </row>
    <row r="579" spans="1:9">
      <c r="A579" s="25" t="s">
        <v>1403</v>
      </c>
      <c r="B579" s="25" t="s">
        <v>1404</v>
      </c>
      <c r="C579" s="25" t="s">
        <v>872</v>
      </c>
      <c r="D579" s="25" t="s">
        <v>162</v>
      </c>
      <c r="E579" s="25" t="s">
        <v>100</v>
      </c>
      <c r="F579" s="26">
        <v>0</v>
      </c>
      <c r="H579" s="50"/>
      <c r="I579" s="48">
        <f t="shared" si="8"/>
        <v>0</v>
      </c>
    </row>
    <row r="580" spans="1:9">
      <c r="A580" s="25" t="s">
        <v>1405</v>
      </c>
      <c r="B580" s="25" t="s">
        <v>1406</v>
      </c>
      <c r="C580" s="25" t="s">
        <v>872</v>
      </c>
      <c r="D580" s="25" t="s">
        <v>162</v>
      </c>
      <c r="E580" s="25" t="s">
        <v>100</v>
      </c>
      <c r="F580" s="26">
        <v>-199.03</v>
      </c>
      <c r="H580" s="50"/>
      <c r="I580" s="48">
        <f t="shared" ref="I580:I598" si="9">ROUND(F580,0)</f>
        <v>-199</v>
      </c>
    </row>
    <row r="581" spans="1:9">
      <c r="A581" s="25" t="s">
        <v>1407</v>
      </c>
      <c r="B581" s="25" t="s">
        <v>1408</v>
      </c>
      <c r="C581" s="25" t="s">
        <v>872</v>
      </c>
      <c r="D581" s="25" t="s">
        <v>169</v>
      </c>
      <c r="E581" s="25" t="s">
        <v>1409</v>
      </c>
      <c r="F581" s="26">
        <v>-199.03</v>
      </c>
      <c r="H581" s="50"/>
      <c r="I581" s="48">
        <f t="shared" si="9"/>
        <v>-199</v>
      </c>
    </row>
    <row r="582" spans="1:9">
      <c r="A582" s="25" t="s">
        <v>1410</v>
      </c>
      <c r="B582" s="25" t="s">
        <v>1411</v>
      </c>
      <c r="C582" s="25" t="s">
        <v>872</v>
      </c>
      <c r="D582" s="25" t="s">
        <v>157</v>
      </c>
      <c r="E582" s="25" t="s">
        <v>100</v>
      </c>
      <c r="F582" s="26">
        <v>0</v>
      </c>
      <c r="H582" s="50"/>
      <c r="I582" s="48">
        <f t="shared" si="9"/>
        <v>0</v>
      </c>
    </row>
    <row r="583" spans="1:9">
      <c r="A583" s="25" t="s">
        <v>1412</v>
      </c>
      <c r="B583" s="25" t="s">
        <v>1413</v>
      </c>
      <c r="C583" s="25" t="s">
        <v>872</v>
      </c>
      <c r="D583" s="25" t="s">
        <v>162</v>
      </c>
      <c r="E583" s="25" t="s">
        <v>100</v>
      </c>
      <c r="F583" s="26">
        <v>0</v>
      </c>
      <c r="H583" s="50"/>
      <c r="I583" s="48">
        <f t="shared" si="9"/>
        <v>0</v>
      </c>
    </row>
    <row r="584" spans="1:9">
      <c r="A584" s="25" t="s">
        <v>1414</v>
      </c>
      <c r="B584" s="25" t="s">
        <v>1415</v>
      </c>
      <c r="C584" s="25" t="s">
        <v>872</v>
      </c>
      <c r="D584" s="25" t="s">
        <v>162</v>
      </c>
      <c r="E584" s="25" t="s">
        <v>100</v>
      </c>
      <c r="F584" s="26">
        <v>-3583.14</v>
      </c>
      <c r="H584" s="50"/>
      <c r="I584" s="48">
        <f t="shared" si="9"/>
        <v>-3583</v>
      </c>
    </row>
    <row r="585" spans="1:9">
      <c r="A585" s="25" t="s">
        <v>1416</v>
      </c>
      <c r="B585" s="25" t="s">
        <v>1417</v>
      </c>
      <c r="C585" s="25" t="s">
        <v>872</v>
      </c>
      <c r="D585" s="25" t="s">
        <v>162</v>
      </c>
      <c r="E585" s="25" t="s">
        <v>100</v>
      </c>
      <c r="F585" s="26">
        <v>7384.86</v>
      </c>
      <c r="H585" s="50"/>
      <c r="I585" s="48">
        <f t="shared" si="9"/>
        <v>7385</v>
      </c>
    </row>
    <row r="586" spans="1:9">
      <c r="A586" s="25" t="s">
        <v>1418</v>
      </c>
      <c r="B586" s="25" t="s">
        <v>515</v>
      </c>
      <c r="C586" s="25" t="s">
        <v>872</v>
      </c>
      <c r="D586" s="25" t="s">
        <v>162</v>
      </c>
      <c r="E586" s="25" t="s">
        <v>100</v>
      </c>
      <c r="F586" s="26">
        <v>-1363629.15</v>
      </c>
      <c r="H586" s="50"/>
      <c r="I586" s="48">
        <f t="shared" si="9"/>
        <v>-1363629</v>
      </c>
    </row>
    <row r="587" spans="1:9">
      <c r="A587" s="25" t="s">
        <v>1419</v>
      </c>
      <c r="B587" s="25" t="s">
        <v>1420</v>
      </c>
      <c r="C587" s="25" t="s">
        <v>872</v>
      </c>
      <c r="D587" s="25" t="s">
        <v>169</v>
      </c>
      <c r="E587" s="25" t="s">
        <v>1421</v>
      </c>
      <c r="F587" s="26">
        <v>-1359827.43</v>
      </c>
      <c r="H587" s="50"/>
      <c r="I587" s="48">
        <f t="shared" si="9"/>
        <v>-1359827</v>
      </c>
    </row>
    <row r="588" spans="1:9">
      <c r="A588" s="25" t="s">
        <v>1422</v>
      </c>
      <c r="B588" s="25" t="s">
        <v>1423</v>
      </c>
      <c r="C588" s="25" t="s">
        <v>872</v>
      </c>
      <c r="D588" s="25" t="s">
        <v>157</v>
      </c>
      <c r="E588" s="25" t="s">
        <v>100</v>
      </c>
      <c r="F588" s="26">
        <v>0</v>
      </c>
      <c r="H588" s="50"/>
      <c r="I588" s="48">
        <f t="shared" si="9"/>
        <v>0</v>
      </c>
    </row>
    <row r="589" spans="1:9">
      <c r="A589" s="25" t="s">
        <v>1424</v>
      </c>
      <c r="B589" s="25" t="s">
        <v>1425</v>
      </c>
      <c r="C589" s="25" t="s">
        <v>872</v>
      </c>
      <c r="D589" s="25" t="s">
        <v>162</v>
      </c>
      <c r="E589" s="25" t="s">
        <v>100</v>
      </c>
      <c r="F589" s="26">
        <v>0</v>
      </c>
      <c r="H589" s="50"/>
      <c r="I589" s="48">
        <f t="shared" si="9"/>
        <v>0</v>
      </c>
    </row>
    <row r="590" spans="1:9">
      <c r="A590" s="25" t="s">
        <v>1426</v>
      </c>
      <c r="B590" s="25" t="s">
        <v>1427</v>
      </c>
      <c r="C590" s="25" t="s">
        <v>872</v>
      </c>
      <c r="D590" s="25" t="s">
        <v>162</v>
      </c>
      <c r="E590" s="25" t="s">
        <v>100</v>
      </c>
      <c r="F590" s="26">
        <v>2567.5</v>
      </c>
      <c r="H590" s="50"/>
      <c r="I590" s="48">
        <f t="shared" si="9"/>
        <v>2568</v>
      </c>
    </row>
    <row r="591" spans="1:9">
      <c r="A591" s="25" t="s">
        <v>1428</v>
      </c>
      <c r="B591" s="25" t="s">
        <v>1429</v>
      </c>
      <c r="C591" s="25" t="s">
        <v>872</v>
      </c>
      <c r="D591" s="25" t="s">
        <v>162</v>
      </c>
      <c r="E591" s="25" t="s">
        <v>100</v>
      </c>
      <c r="F591" s="26">
        <v>-6595.56</v>
      </c>
      <c r="H591" s="50"/>
      <c r="I591" s="48">
        <f t="shared" si="9"/>
        <v>-6596</v>
      </c>
    </row>
    <row r="592" spans="1:9">
      <c r="A592" s="25" t="s">
        <v>1430</v>
      </c>
      <c r="B592" s="25" t="s">
        <v>1431</v>
      </c>
      <c r="C592" s="25" t="s">
        <v>872</v>
      </c>
      <c r="D592" s="25" t="s">
        <v>162</v>
      </c>
      <c r="E592" s="25" t="s">
        <v>100</v>
      </c>
      <c r="F592" s="26">
        <v>6401.25</v>
      </c>
      <c r="H592" s="50"/>
      <c r="I592" s="48">
        <f t="shared" si="9"/>
        <v>6401</v>
      </c>
    </row>
    <row r="593" spans="1:11">
      <c r="A593" s="25" t="s">
        <v>1432</v>
      </c>
      <c r="B593" s="25" t="s">
        <v>1433</v>
      </c>
      <c r="C593" s="25" t="s">
        <v>872</v>
      </c>
      <c r="D593" s="25" t="s">
        <v>162</v>
      </c>
      <c r="E593" s="25" t="s">
        <v>100</v>
      </c>
      <c r="F593" s="26">
        <v>200800.65</v>
      </c>
      <c r="H593" s="50"/>
      <c r="I593" s="48">
        <f t="shared" si="9"/>
        <v>200801</v>
      </c>
    </row>
    <row r="594" spans="1:11">
      <c r="A594" s="25" t="s">
        <v>1434</v>
      </c>
      <c r="B594" s="25" t="s">
        <v>1435</v>
      </c>
      <c r="C594" s="25" t="s">
        <v>872</v>
      </c>
      <c r="D594" s="25" t="s">
        <v>162</v>
      </c>
      <c r="E594" s="25" t="s">
        <v>100</v>
      </c>
      <c r="F594" s="26">
        <v>-200800.65</v>
      </c>
      <c r="H594" s="50"/>
      <c r="I594" s="48">
        <f t="shared" si="9"/>
        <v>-200801</v>
      </c>
    </row>
    <row r="595" spans="1:11">
      <c r="A595" s="25" t="s">
        <v>1436</v>
      </c>
      <c r="B595" s="25" t="s">
        <v>1437</v>
      </c>
      <c r="C595" s="25" t="s">
        <v>872</v>
      </c>
      <c r="D595" s="25" t="s">
        <v>162</v>
      </c>
      <c r="E595" s="25" t="s">
        <v>100</v>
      </c>
      <c r="F595" s="26">
        <v>0</v>
      </c>
      <c r="H595" s="50"/>
      <c r="I595" s="48">
        <f t="shared" si="9"/>
        <v>0</v>
      </c>
    </row>
    <row r="596" spans="1:11">
      <c r="A596" s="25" t="s">
        <v>1438</v>
      </c>
      <c r="B596" s="25" t="s">
        <v>1439</v>
      </c>
      <c r="C596" s="25" t="s">
        <v>872</v>
      </c>
      <c r="D596" s="25" t="s">
        <v>169</v>
      </c>
      <c r="E596" s="25" t="s">
        <v>1440</v>
      </c>
      <c r="F596" s="26">
        <v>2373.19</v>
      </c>
      <c r="H596" s="50"/>
      <c r="I596" s="48">
        <f t="shared" si="9"/>
        <v>2373</v>
      </c>
    </row>
    <row r="597" spans="1:11">
      <c r="A597" s="25" t="s">
        <v>1441</v>
      </c>
      <c r="B597" s="25" t="s">
        <v>1442</v>
      </c>
      <c r="C597" s="25" t="s">
        <v>872</v>
      </c>
      <c r="D597" s="25" t="s">
        <v>169</v>
      </c>
      <c r="E597" s="25" t="s">
        <v>1443</v>
      </c>
      <c r="F597" s="26">
        <v>-2678788.19</v>
      </c>
      <c r="H597" s="50"/>
      <c r="I597" s="48">
        <f t="shared" si="9"/>
        <v>-2678788</v>
      </c>
    </row>
    <row r="598" spans="1:11">
      <c r="A598" s="25" t="s">
        <v>1444</v>
      </c>
      <c r="B598" s="25" t="s">
        <v>1445</v>
      </c>
      <c r="C598" s="25" t="s">
        <v>872</v>
      </c>
      <c r="D598" s="25" t="s">
        <v>169</v>
      </c>
      <c r="E598" s="25" t="s">
        <v>1446</v>
      </c>
      <c r="F598" s="26">
        <v>-66187610.350000001</v>
      </c>
      <c r="H598" s="50"/>
      <c r="I598" s="48">
        <f t="shared" si="9"/>
        <v>-66187610</v>
      </c>
    </row>
    <row r="599" spans="1:11">
      <c r="I599" s="48">
        <f>SUBTOTAL(9,I3:I598)</f>
        <v>50280691.610000059</v>
      </c>
    </row>
    <row r="601" spans="1:11">
      <c r="F601" s="1">
        <f>SUM(F3:F600)</f>
        <v>50977229.120000102</v>
      </c>
      <c r="G601" s="3">
        <f>SUM(G3:G598)</f>
        <v>0</v>
      </c>
      <c r="H601" s="3">
        <f>SUM(H3:H598)</f>
        <v>0.3000000000174623</v>
      </c>
      <c r="I601" s="3"/>
      <c r="K601" s="3"/>
    </row>
  </sheetData>
  <autoFilter ref="A2:Q598" xr:uid="{00000000-0009-0000-0000-000004000000}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598"/>
  <sheetViews>
    <sheetView topLeftCell="A28" workbookViewId="0">
      <selection activeCell="Q194" sqref="Q194"/>
    </sheetView>
  </sheetViews>
  <sheetFormatPr baseColWidth="10" defaultColWidth="8.5" defaultRowHeight="14"/>
  <cols>
    <col min="1" max="1" width="11" bestFit="1" customWidth="1"/>
    <col min="2" max="2" width="24.5" customWidth="1"/>
    <col min="6" max="6" width="13.5" bestFit="1" customWidth="1"/>
    <col min="7" max="7" width="12" bestFit="1" customWidth="1"/>
    <col min="8" max="8" width="12" customWidth="1"/>
    <col min="9" max="9" width="10.5" bestFit="1" customWidth="1"/>
    <col min="10" max="10" width="9.5" bestFit="1" customWidth="1"/>
    <col min="13" max="13" width="31" bestFit="1" customWidth="1"/>
    <col min="14" max="14" width="12.5" bestFit="1" customWidth="1"/>
    <col min="15" max="15" width="11.5" bestFit="1" customWidth="1"/>
    <col min="16" max="16" width="12.5" bestFit="1" customWidth="1"/>
    <col min="17" max="17" width="11" bestFit="1" customWidth="1"/>
  </cols>
  <sheetData>
    <row r="1" spans="1:8" ht="16">
      <c r="A1" s="37" t="s">
        <v>146</v>
      </c>
      <c r="B1" s="36"/>
      <c r="C1" s="36"/>
      <c r="D1" s="36"/>
      <c r="E1" s="36"/>
      <c r="F1" s="35">
        <v>41639</v>
      </c>
    </row>
    <row r="2" spans="1:8" ht="24">
      <c r="A2" s="38" t="s">
        <v>147</v>
      </c>
      <c r="B2" s="38" t="s">
        <v>148</v>
      </c>
      <c r="C2" s="38" t="s">
        <v>149</v>
      </c>
      <c r="D2" s="38" t="s">
        <v>150</v>
      </c>
      <c r="E2" s="38" t="s">
        <v>151</v>
      </c>
      <c r="F2" s="38" t="s">
        <v>152</v>
      </c>
      <c r="G2" s="38" t="s">
        <v>2294</v>
      </c>
      <c r="H2" s="38"/>
    </row>
    <row r="3" spans="1:8">
      <c r="A3" s="39" t="s">
        <v>154</v>
      </c>
      <c r="B3" s="39" t="s">
        <v>155</v>
      </c>
      <c r="C3" s="39" t="s">
        <v>156</v>
      </c>
      <c r="D3" s="39" t="s">
        <v>157</v>
      </c>
      <c r="E3" s="39" t="s">
        <v>100</v>
      </c>
      <c r="F3" s="33">
        <v>0</v>
      </c>
      <c r="G3" s="14"/>
      <c r="H3" s="14"/>
    </row>
    <row r="4" spans="1:8">
      <c r="A4" s="39" t="s">
        <v>158</v>
      </c>
      <c r="B4" s="39" t="s">
        <v>159</v>
      </c>
      <c r="C4" s="39" t="s">
        <v>156</v>
      </c>
      <c r="D4" s="39" t="s">
        <v>157</v>
      </c>
      <c r="E4" s="39" t="s">
        <v>100</v>
      </c>
      <c r="F4" s="33">
        <v>0</v>
      </c>
      <c r="G4" s="14"/>
      <c r="H4" s="14"/>
    </row>
    <row r="5" spans="1:8">
      <c r="A5" s="39" t="s">
        <v>160</v>
      </c>
      <c r="B5" s="39" t="s">
        <v>161</v>
      </c>
      <c r="C5" s="39" t="s">
        <v>156</v>
      </c>
      <c r="D5" s="39" t="s">
        <v>162</v>
      </c>
      <c r="E5" s="39" t="s">
        <v>100</v>
      </c>
      <c r="F5" s="33">
        <v>-7021362.5</v>
      </c>
      <c r="G5" s="15">
        <f>ROUND(F5,0)</f>
        <v>-7021363</v>
      </c>
      <c r="H5" s="15"/>
    </row>
    <row r="6" spans="1:8">
      <c r="A6" s="39" t="s">
        <v>163</v>
      </c>
      <c r="B6" s="39" t="s">
        <v>164</v>
      </c>
      <c r="C6" s="39" t="s">
        <v>156</v>
      </c>
      <c r="D6" s="39" t="s">
        <v>162</v>
      </c>
      <c r="E6" s="39" t="s">
        <v>100</v>
      </c>
      <c r="F6" s="33">
        <v>-644570</v>
      </c>
      <c r="G6" s="15">
        <f t="shared" ref="G6:G69" si="0">ROUND(F6,0)</f>
        <v>-644570</v>
      </c>
      <c r="H6" s="15"/>
    </row>
    <row r="7" spans="1:8">
      <c r="A7" s="39" t="s">
        <v>165</v>
      </c>
      <c r="B7" s="39" t="s">
        <v>166</v>
      </c>
      <c r="C7" s="39" t="s">
        <v>156</v>
      </c>
      <c r="D7" s="39" t="s">
        <v>162</v>
      </c>
      <c r="E7" s="39" t="s">
        <v>100</v>
      </c>
      <c r="F7" s="33">
        <v>-41200</v>
      </c>
      <c r="G7" s="15">
        <f t="shared" si="0"/>
        <v>-41200</v>
      </c>
      <c r="H7" s="15"/>
    </row>
    <row r="8" spans="1:8">
      <c r="A8" s="39" t="s">
        <v>167</v>
      </c>
      <c r="B8" s="39" t="s">
        <v>168</v>
      </c>
      <c r="C8" s="39" t="s">
        <v>156</v>
      </c>
      <c r="D8" s="39" t="s">
        <v>169</v>
      </c>
      <c r="E8" s="39" t="s">
        <v>170</v>
      </c>
      <c r="F8" s="33">
        <v>-7707132.5</v>
      </c>
      <c r="G8" s="15">
        <f t="shared" si="0"/>
        <v>-7707133</v>
      </c>
      <c r="H8" s="15"/>
    </row>
    <row r="9" spans="1:8">
      <c r="A9" s="39" t="s">
        <v>171</v>
      </c>
      <c r="B9" s="39" t="s">
        <v>172</v>
      </c>
      <c r="C9" s="39" t="s">
        <v>156</v>
      </c>
      <c r="D9" s="39" t="s">
        <v>157</v>
      </c>
      <c r="E9" s="39" t="s">
        <v>100</v>
      </c>
      <c r="F9" s="33">
        <v>0</v>
      </c>
      <c r="G9" s="15">
        <f t="shared" si="0"/>
        <v>0</v>
      </c>
      <c r="H9" s="15"/>
    </row>
    <row r="10" spans="1:8">
      <c r="A10" s="39" t="s">
        <v>173</v>
      </c>
      <c r="B10" s="39" t="s">
        <v>174</v>
      </c>
      <c r="C10" s="39" t="s">
        <v>156</v>
      </c>
      <c r="D10" s="39" t="s">
        <v>162</v>
      </c>
      <c r="E10" s="39" t="s">
        <v>100</v>
      </c>
      <c r="F10" s="33">
        <v>-6707368</v>
      </c>
      <c r="G10" s="15">
        <f t="shared" si="0"/>
        <v>-6707368</v>
      </c>
      <c r="H10" s="15"/>
    </row>
    <row r="11" spans="1:8">
      <c r="A11" s="39" t="s">
        <v>175</v>
      </c>
      <c r="B11" s="39" t="s">
        <v>176</v>
      </c>
      <c r="C11" s="39" t="s">
        <v>156</v>
      </c>
      <c r="D11" s="39" t="s">
        <v>162</v>
      </c>
      <c r="E11" s="39" t="s">
        <v>100</v>
      </c>
      <c r="F11" s="33">
        <v>-249445</v>
      </c>
      <c r="G11" s="15">
        <f t="shared" si="0"/>
        <v>-249445</v>
      </c>
      <c r="H11" s="15"/>
    </row>
    <row r="12" spans="1:8">
      <c r="A12" s="39" t="s">
        <v>177</v>
      </c>
      <c r="B12" s="39" t="s">
        <v>178</v>
      </c>
      <c r="C12" s="39" t="s">
        <v>156</v>
      </c>
      <c r="D12" s="39" t="s">
        <v>162</v>
      </c>
      <c r="E12" s="39" t="s">
        <v>100</v>
      </c>
      <c r="F12" s="33">
        <v>-387013.43</v>
      </c>
      <c r="G12" s="15">
        <f t="shared" si="0"/>
        <v>-387013</v>
      </c>
      <c r="H12" s="15"/>
    </row>
    <row r="13" spans="1:8">
      <c r="A13" s="39" t="s">
        <v>179</v>
      </c>
      <c r="B13" s="39" t="s">
        <v>180</v>
      </c>
      <c r="C13" s="39" t="s">
        <v>156</v>
      </c>
      <c r="D13" s="39" t="s">
        <v>162</v>
      </c>
      <c r="E13" s="39" t="s">
        <v>100</v>
      </c>
      <c r="F13" s="33">
        <v>343671.55</v>
      </c>
      <c r="G13" s="15">
        <f t="shared" si="0"/>
        <v>343672</v>
      </c>
      <c r="H13" s="15"/>
    </row>
    <row r="14" spans="1:8">
      <c r="A14" s="39" t="s">
        <v>183</v>
      </c>
      <c r="B14" s="39" t="s">
        <v>184</v>
      </c>
      <c r="C14" s="39" t="s">
        <v>156</v>
      </c>
      <c r="D14" s="39" t="s">
        <v>162</v>
      </c>
      <c r="E14" s="39" t="s">
        <v>100</v>
      </c>
      <c r="F14" s="33">
        <v>-1000771</v>
      </c>
      <c r="G14" s="15">
        <f t="shared" si="0"/>
        <v>-1000771</v>
      </c>
      <c r="H14" s="15"/>
    </row>
    <row r="15" spans="1:8">
      <c r="A15" s="39" t="s">
        <v>185</v>
      </c>
      <c r="B15" s="39" t="s">
        <v>186</v>
      </c>
      <c r="C15" s="39" t="s">
        <v>156</v>
      </c>
      <c r="D15" s="39" t="s">
        <v>169</v>
      </c>
      <c r="E15" s="39" t="s">
        <v>187</v>
      </c>
      <c r="F15" s="33">
        <v>-8000925.8799999999</v>
      </c>
      <c r="G15" s="15">
        <f t="shared" si="0"/>
        <v>-8000926</v>
      </c>
      <c r="H15" s="15"/>
    </row>
    <row r="16" spans="1:8">
      <c r="A16" s="39" t="s">
        <v>188</v>
      </c>
      <c r="B16" s="39" t="s">
        <v>189</v>
      </c>
      <c r="C16" s="39" t="s">
        <v>156</v>
      </c>
      <c r="D16" s="39" t="s">
        <v>157</v>
      </c>
      <c r="E16" s="39" t="s">
        <v>100</v>
      </c>
      <c r="F16" s="33">
        <v>0</v>
      </c>
      <c r="G16" s="15">
        <f t="shared" si="0"/>
        <v>0</v>
      </c>
      <c r="H16" s="15"/>
    </row>
    <row r="17" spans="1:8">
      <c r="A17" s="39" t="s">
        <v>190</v>
      </c>
      <c r="B17" s="39" t="s">
        <v>191</v>
      </c>
      <c r="C17" s="39" t="s">
        <v>156</v>
      </c>
      <c r="D17" s="39" t="s">
        <v>157</v>
      </c>
      <c r="E17" s="39" t="s">
        <v>100</v>
      </c>
      <c r="F17" s="33">
        <v>0</v>
      </c>
      <c r="G17" s="15">
        <f t="shared" si="0"/>
        <v>0</v>
      </c>
      <c r="H17" s="15"/>
    </row>
    <row r="18" spans="1:8">
      <c r="A18" s="39" t="s">
        <v>192</v>
      </c>
      <c r="B18" s="39" t="s">
        <v>193</v>
      </c>
      <c r="C18" s="39" t="s">
        <v>156</v>
      </c>
      <c r="D18" s="39" t="s">
        <v>162</v>
      </c>
      <c r="E18" s="39" t="s">
        <v>100</v>
      </c>
      <c r="F18" s="33">
        <v>0</v>
      </c>
      <c r="G18" s="15">
        <f t="shared" si="0"/>
        <v>0</v>
      </c>
      <c r="H18" s="15">
        <f>-244912.5-10153</f>
        <v>-255065.5</v>
      </c>
    </row>
    <row r="19" spans="1:8">
      <c r="A19" s="39" t="s">
        <v>194</v>
      </c>
      <c r="B19" s="39" t="s">
        <v>195</v>
      </c>
      <c r="C19" s="39" t="s">
        <v>156</v>
      </c>
      <c r="D19" s="39" t="s">
        <v>169</v>
      </c>
      <c r="E19" s="39" t="s">
        <v>196</v>
      </c>
      <c r="F19" s="33">
        <v>0</v>
      </c>
      <c r="G19" s="15">
        <f t="shared" si="0"/>
        <v>0</v>
      </c>
      <c r="H19" s="15"/>
    </row>
    <row r="20" spans="1:8">
      <c r="A20" s="39" t="s">
        <v>197</v>
      </c>
      <c r="B20" s="39" t="s">
        <v>198</v>
      </c>
      <c r="C20" s="39" t="s">
        <v>156</v>
      </c>
      <c r="D20" s="39" t="s">
        <v>157</v>
      </c>
      <c r="E20" s="39" t="s">
        <v>100</v>
      </c>
      <c r="F20" s="33">
        <v>0</v>
      </c>
      <c r="G20" s="15">
        <f t="shared" si="0"/>
        <v>0</v>
      </c>
      <c r="H20" s="15"/>
    </row>
    <row r="21" spans="1:8">
      <c r="A21" s="39" t="s">
        <v>199</v>
      </c>
      <c r="B21" s="39" t="s">
        <v>2062</v>
      </c>
      <c r="C21" s="39" t="s">
        <v>156</v>
      </c>
      <c r="D21" s="39" t="s">
        <v>162</v>
      </c>
      <c r="E21" s="39" t="s">
        <v>100</v>
      </c>
      <c r="F21" s="33">
        <v>31788.84</v>
      </c>
      <c r="G21" s="15">
        <f t="shared" si="0"/>
        <v>31789</v>
      </c>
      <c r="H21" s="15"/>
    </row>
    <row r="22" spans="1:8">
      <c r="A22" s="39" t="s">
        <v>201</v>
      </c>
      <c r="B22" s="39" t="s">
        <v>2058</v>
      </c>
      <c r="C22" s="39" t="s">
        <v>156</v>
      </c>
      <c r="D22" s="39" t="s">
        <v>162</v>
      </c>
      <c r="E22" s="39" t="s">
        <v>100</v>
      </c>
      <c r="F22" s="33">
        <v>-33866.980000000003</v>
      </c>
      <c r="G22" s="15">
        <f t="shared" si="0"/>
        <v>-33867</v>
      </c>
      <c r="H22" s="15"/>
    </row>
    <row r="23" spans="1:8">
      <c r="A23" s="39" t="s">
        <v>203</v>
      </c>
      <c r="B23" s="39" t="s">
        <v>2149</v>
      </c>
      <c r="C23" s="39" t="s">
        <v>872</v>
      </c>
      <c r="D23" s="39" t="s">
        <v>162</v>
      </c>
      <c r="E23" s="39" t="s">
        <v>100</v>
      </c>
      <c r="F23" s="33">
        <v>0</v>
      </c>
      <c r="G23" s="15">
        <f t="shared" si="0"/>
        <v>0</v>
      </c>
      <c r="H23" s="15"/>
    </row>
    <row r="24" spans="1:8">
      <c r="A24" s="39" t="s">
        <v>207</v>
      </c>
      <c r="B24" s="39" t="s">
        <v>208</v>
      </c>
      <c r="C24" s="39" t="s">
        <v>872</v>
      </c>
      <c r="D24" s="39" t="s">
        <v>162</v>
      </c>
      <c r="E24" s="39" t="s">
        <v>100</v>
      </c>
      <c r="F24" s="33">
        <v>0</v>
      </c>
      <c r="G24" s="15">
        <f t="shared" si="0"/>
        <v>0</v>
      </c>
      <c r="H24" s="15"/>
    </row>
    <row r="25" spans="1:8">
      <c r="A25" s="39" t="s">
        <v>209</v>
      </c>
      <c r="B25" s="39" t="s">
        <v>2295</v>
      </c>
      <c r="C25" s="39" t="s">
        <v>156</v>
      </c>
      <c r="D25" s="39" t="s">
        <v>162</v>
      </c>
      <c r="E25" s="39" t="s">
        <v>100</v>
      </c>
      <c r="F25" s="33">
        <v>8082.48</v>
      </c>
      <c r="G25" s="15">
        <f t="shared" si="0"/>
        <v>8082</v>
      </c>
      <c r="H25" s="15"/>
    </row>
    <row r="26" spans="1:8">
      <c r="A26" s="39" t="s">
        <v>211</v>
      </c>
      <c r="B26" s="39" t="s">
        <v>2296</v>
      </c>
      <c r="C26" s="39" t="s">
        <v>156</v>
      </c>
      <c r="D26" s="39" t="s">
        <v>162</v>
      </c>
      <c r="E26" s="39" t="s">
        <v>100</v>
      </c>
      <c r="F26" s="33">
        <v>32517.89</v>
      </c>
      <c r="G26" s="15">
        <f t="shared" si="0"/>
        <v>32518</v>
      </c>
      <c r="H26" s="15"/>
    </row>
    <row r="27" spans="1:8">
      <c r="A27" s="39" t="s">
        <v>213</v>
      </c>
      <c r="B27" s="39" t="s">
        <v>214</v>
      </c>
      <c r="C27" s="39" t="s">
        <v>872</v>
      </c>
      <c r="D27" s="39" t="s">
        <v>162</v>
      </c>
      <c r="E27" s="39" t="s">
        <v>100</v>
      </c>
      <c r="F27" s="33">
        <v>0</v>
      </c>
      <c r="G27" s="15">
        <f t="shared" si="0"/>
        <v>0</v>
      </c>
      <c r="H27" s="15"/>
    </row>
    <row r="28" spans="1:8">
      <c r="A28" s="39" t="s">
        <v>215</v>
      </c>
      <c r="B28" s="39" t="s">
        <v>216</v>
      </c>
      <c r="C28" s="39" t="s">
        <v>872</v>
      </c>
      <c r="D28" s="39" t="s">
        <v>162</v>
      </c>
      <c r="E28" s="39" t="s">
        <v>100</v>
      </c>
      <c r="F28" s="33">
        <v>0</v>
      </c>
      <c r="G28" s="15">
        <f t="shared" si="0"/>
        <v>0</v>
      </c>
      <c r="H28" s="15"/>
    </row>
    <row r="29" spans="1:8">
      <c r="A29" s="39" t="s">
        <v>217</v>
      </c>
      <c r="B29" s="39" t="s">
        <v>218</v>
      </c>
      <c r="C29" s="39" t="s">
        <v>156</v>
      </c>
      <c r="D29" s="39" t="s">
        <v>162</v>
      </c>
      <c r="E29" s="39" t="s">
        <v>100</v>
      </c>
      <c r="F29" s="33">
        <v>0</v>
      </c>
      <c r="G29" s="15">
        <f t="shared" si="0"/>
        <v>0</v>
      </c>
      <c r="H29" s="15"/>
    </row>
    <row r="30" spans="1:8">
      <c r="A30" s="39" t="s">
        <v>219</v>
      </c>
      <c r="B30" s="39" t="s">
        <v>220</v>
      </c>
      <c r="C30" s="39" t="s">
        <v>872</v>
      </c>
      <c r="D30" s="39" t="s">
        <v>162</v>
      </c>
      <c r="E30" s="39" t="s">
        <v>100</v>
      </c>
      <c r="F30" s="33">
        <v>0</v>
      </c>
      <c r="G30" s="15">
        <f t="shared" si="0"/>
        <v>0</v>
      </c>
      <c r="H30" s="15"/>
    </row>
    <row r="31" spans="1:8">
      <c r="A31" s="39" t="s">
        <v>221</v>
      </c>
      <c r="B31" s="39" t="s">
        <v>222</v>
      </c>
      <c r="C31" s="39" t="s">
        <v>156</v>
      </c>
      <c r="D31" s="39" t="s">
        <v>169</v>
      </c>
      <c r="E31" s="39" t="s">
        <v>223</v>
      </c>
      <c r="F31" s="33">
        <v>38522.230000000003</v>
      </c>
      <c r="G31" s="15">
        <f t="shared" si="0"/>
        <v>38522</v>
      </c>
      <c r="H31" s="15"/>
    </row>
    <row r="32" spans="1:8">
      <c r="A32" s="39" t="s">
        <v>224</v>
      </c>
      <c r="B32" s="39" t="s">
        <v>225</v>
      </c>
      <c r="C32" s="39" t="s">
        <v>156</v>
      </c>
      <c r="D32" s="39" t="s">
        <v>157</v>
      </c>
      <c r="E32" s="39" t="s">
        <v>100</v>
      </c>
      <c r="F32" s="33">
        <v>0</v>
      </c>
      <c r="G32" s="15">
        <f t="shared" si="0"/>
        <v>0</v>
      </c>
      <c r="H32" s="15"/>
    </row>
    <row r="33" spans="1:8">
      <c r="A33" s="39" t="s">
        <v>226</v>
      </c>
      <c r="B33" s="39" t="s">
        <v>227</v>
      </c>
      <c r="C33" s="39" t="s">
        <v>156</v>
      </c>
      <c r="D33" s="39" t="s">
        <v>162</v>
      </c>
      <c r="E33" s="39" t="s">
        <v>100</v>
      </c>
      <c r="F33" s="33">
        <v>-1757740</v>
      </c>
      <c r="G33" s="15">
        <f t="shared" si="0"/>
        <v>-1757740</v>
      </c>
      <c r="H33" s="15"/>
    </row>
    <row r="34" spans="1:8">
      <c r="A34" s="39" t="s">
        <v>228</v>
      </c>
      <c r="B34" s="39" t="s">
        <v>229</v>
      </c>
      <c r="C34" s="39" t="s">
        <v>156</v>
      </c>
      <c r="D34" s="39" t="s">
        <v>162</v>
      </c>
      <c r="E34" s="39" t="s">
        <v>100</v>
      </c>
      <c r="F34" s="33">
        <v>64721.91</v>
      </c>
      <c r="G34" s="15">
        <f t="shared" si="0"/>
        <v>64722</v>
      </c>
      <c r="H34" s="15"/>
    </row>
    <row r="35" spans="1:8">
      <c r="A35" s="39" t="s">
        <v>230</v>
      </c>
      <c r="B35" s="39" t="s">
        <v>231</v>
      </c>
      <c r="C35" s="39" t="s">
        <v>156</v>
      </c>
      <c r="D35" s="39" t="s">
        <v>162</v>
      </c>
      <c r="E35" s="39" t="s">
        <v>100</v>
      </c>
      <c r="F35" s="33">
        <v>34489.370000000003</v>
      </c>
      <c r="G35" s="15">
        <f t="shared" si="0"/>
        <v>34489</v>
      </c>
      <c r="H35" s="15"/>
    </row>
    <row r="36" spans="1:8">
      <c r="A36" s="39" t="s">
        <v>232</v>
      </c>
      <c r="B36" s="39" t="s">
        <v>233</v>
      </c>
      <c r="C36" s="39" t="s">
        <v>156</v>
      </c>
      <c r="D36" s="39" t="s">
        <v>162</v>
      </c>
      <c r="E36" s="39" t="s">
        <v>100</v>
      </c>
      <c r="F36" s="33">
        <v>124789.43</v>
      </c>
      <c r="G36" s="15">
        <f t="shared" si="0"/>
        <v>124789</v>
      </c>
      <c r="H36" s="15"/>
    </row>
    <row r="37" spans="1:8">
      <c r="A37" s="39" t="s">
        <v>234</v>
      </c>
      <c r="B37" s="39" t="s">
        <v>235</v>
      </c>
      <c r="C37" s="39" t="s">
        <v>156</v>
      </c>
      <c r="D37" s="39" t="s">
        <v>162</v>
      </c>
      <c r="E37" s="39" t="s">
        <v>100</v>
      </c>
      <c r="F37" s="33">
        <v>-7529</v>
      </c>
      <c r="G37" s="15">
        <f t="shared" si="0"/>
        <v>-7529</v>
      </c>
      <c r="H37" s="15"/>
    </row>
    <row r="38" spans="1:8">
      <c r="A38" s="39" t="s">
        <v>236</v>
      </c>
      <c r="B38" s="39" t="s">
        <v>237</v>
      </c>
      <c r="C38" s="39" t="s">
        <v>156</v>
      </c>
      <c r="D38" s="39" t="s">
        <v>162</v>
      </c>
      <c r="E38" s="39" t="s">
        <v>100</v>
      </c>
      <c r="F38" s="33">
        <v>35164.800000000003</v>
      </c>
      <c r="G38" s="15">
        <f t="shared" si="0"/>
        <v>35165</v>
      </c>
      <c r="H38" s="15"/>
    </row>
    <row r="39" spans="1:8">
      <c r="A39" s="39" t="s">
        <v>238</v>
      </c>
      <c r="B39" s="39" t="s">
        <v>239</v>
      </c>
      <c r="C39" s="39" t="s">
        <v>156</v>
      </c>
      <c r="D39" s="39" t="s">
        <v>162</v>
      </c>
      <c r="E39" s="39" t="s">
        <v>100</v>
      </c>
      <c r="F39" s="33">
        <v>1471228.38</v>
      </c>
      <c r="G39" s="15">
        <f t="shared" si="0"/>
        <v>1471228</v>
      </c>
      <c r="H39" s="15"/>
    </row>
    <row r="40" spans="1:8">
      <c r="A40" s="39" t="s">
        <v>240</v>
      </c>
      <c r="B40" s="39" t="s">
        <v>241</v>
      </c>
      <c r="C40" s="39" t="s">
        <v>156</v>
      </c>
      <c r="D40" s="39" t="s">
        <v>169</v>
      </c>
      <c r="E40" s="39" t="s">
        <v>242</v>
      </c>
      <c r="F40" s="33">
        <v>-34875.11</v>
      </c>
      <c r="G40" s="15">
        <f t="shared" si="0"/>
        <v>-34875</v>
      </c>
      <c r="H40" s="15"/>
    </row>
    <row r="41" spans="1:8">
      <c r="A41" s="39" t="s">
        <v>243</v>
      </c>
      <c r="B41" s="39" t="s">
        <v>244</v>
      </c>
      <c r="C41" s="39" t="s">
        <v>156</v>
      </c>
      <c r="D41" s="39" t="s">
        <v>157</v>
      </c>
      <c r="E41" s="39" t="s">
        <v>100</v>
      </c>
      <c r="F41" s="33">
        <v>0</v>
      </c>
      <c r="G41" s="15">
        <f t="shared" si="0"/>
        <v>0</v>
      </c>
      <c r="H41" s="15"/>
    </row>
    <row r="42" spans="1:8">
      <c r="A42" s="39" t="s">
        <v>245</v>
      </c>
      <c r="B42" s="39" t="s">
        <v>246</v>
      </c>
      <c r="C42" s="39" t="s">
        <v>156</v>
      </c>
      <c r="D42" s="39" t="s">
        <v>162</v>
      </c>
      <c r="E42" s="39" t="s">
        <v>100</v>
      </c>
      <c r="F42" s="33">
        <v>-132015.93</v>
      </c>
      <c r="G42" s="15">
        <f t="shared" si="0"/>
        <v>-132016</v>
      </c>
      <c r="H42" s="15"/>
    </row>
    <row r="43" spans="1:8">
      <c r="A43" s="39" t="s">
        <v>247</v>
      </c>
      <c r="B43" s="39" t="s">
        <v>248</v>
      </c>
      <c r="C43" s="39" t="s">
        <v>156</v>
      </c>
      <c r="D43" s="39" t="s">
        <v>169</v>
      </c>
      <c r="E43" s="39" t="s">
        <v>249</v>
      </c>
      <c r="F43" s="33">
        <v>-132015.93</v>
      </c>
      <c r="G43" s="15">
        <f t="shared" si="0"/>
        <v>-132016</v>
      </c>
      <c r="H43" s="15">
        <v>156704</v>
      </c>
    </row>
    <row r="44" spans="1:8">
      <c r="A44" s="39" t="s">
        <v>250</v>
      </c>
      <c r="B44" s="39" t="s">
        <v>251</v>
      </c>
      <c r="C44" s="39" t="s">
        <v>156</v>
      </c>
      <c r="D44" s="39" t="s">
        <v>169</v>
      </c>
      <c r="E44" s="39" t="s">
        <v>252</v>
      </c>
      <c r="F44" s="33">
        <v>-128368.81</v>
      </c>
      <c r="G44" s="15">
        <f t="shared" si="0"/>
        <v>-128369</v>
      </c>
      <c r="H44" s="15"/>
    </row>
    <row r="45" spans="1:8">
      <c r="A45" s="39" t="s">
        <v>253</v>
      </c>
      <c r="B45" s="39" t="s">
        <v>254</v>
      </c>
      <c r="C45" s="39" t="s">
        <v>156</v>
      </c>
      <c r="D45" s="39" t="s">
        <v>157</v>
      </c>
      <c r="E45" s="39" t="s">
        <v>100</v>
      </c>
      <c r="F45" s="33">
        <v>0</v>
      </c>
      <c r="G45" s="15">
        <f t="shared" si="0"/>
        <v>0</v>
      </c>
      <c r="H45" s="15"/>
    </row>
    <row r="46" spans="1:8">
      <c r="A46" s="39" t="s">
        <v>255</v>
      </c>
      <c r="B46" s="39" t="s">
        <v>256</v>
      </c>
      <c r="C46" s="39" t="s">
        <v>156</v>
      </c>
      <c r="D46" s="39" t="s">
        <v>162</v>
      </c>
      <c r="E46" s="39" t="s">
        <v>100</v>
      </c>
      <c r="F46" s="33">
        <v>-90892.800000000003</v>
      </c>
      <c r="G46" s="15">
        <f t="shared" si="0"/>
        <v>-90893</v>
      </c>
      <c r="H46" s="15"/>
    </row>
    <row r="47" spans="1:8">
      <c r="A47" s="39" t="s">
        <v>257</v>
      </c>
      <c r="B47" s="39" t="s">
        <v>258</v>
      </c>
      <c r="C47" s="39" t="s">
        <v>156</v>
      </c>
      <c r="D47" s="39" t="s">
        <v>162</v>
      </c>
      <c r="E47" s="39" t="s">
        <v>100</v>
      </c>
      <c r="F47" s="33">
        <v>-128.04</v>
      </c>
      <c r="G47" s="15">
        <f t="shared" si="0"/>
        <v>-128</v>
      </c>
      <c r="H47" s="15"/>
    </row>
    <row r="48" spans="1:8">
      <c r="A48" s="39" t="s">
        <v>259</v>
      </c>
      <c r="B48" s="39" t="s">
        <v>260</v>
      </c>
      <c r="C48" s="39" t="s">
        <v>156</v>
      </c>
      <c r="D48" s="39" t="s">
        <v>162</v>
      </c>
      <c r="E48" s="39" t="s">
        <v>100</v>
      </c>
      <c r="F48" s="33">
        <v>0</v>
      </c>
      <c r="G48" s="15">
        <f t="shared" si="0"/>
        <v>0</v>
      </c>
      <c r="H48" s="15"/>
    </row>
    <row r="49" spans="1:8">
      <c r="A49" s="39" t="s">
        <v>261</v>
      </c>
      <c r="B49" s="39" t="s">
        <v>262</v>
      </c>
      <c r="C49" s="39" t="s">
        <v>156</v>
      </c>
      <c r="D49" s="39" t="s">
        <v>162</v>
      </c>
      <c r="E49" s="39" t="s">
        <v>100</v>
      </c>
      <c r="F49" s="33">
        <v>0</v>
      </c>
      <c r="G49" s="15">
        <f t="shared" si="0"/>
        <v>0</v>
      </c>
      <c r="H49" s="15"/>
    </row>
    <row r="50" spans="1:8">
      <c r="A50" s="39" t="s">
        <v>263</v>
      </c>
      <c r="B50" s="39" t="s">
        <v>264</v>
      </c>
      <c r="C50" s="39" t="s">
        <v>156</v>
      </c>
      <c r="D50" s="39" t="s">
        <v>162</v>
      </c>
      <c r="E50" s="39" t="s">
        <v>100</v>
      </c>
      <c r="F50" s="33">
        <v>-15256.02</v>
      </c>
      <c r="G50" s="15">
        <f t="shared" si="0"/>
        <v>-15256</v>
      </c>
      <c r="H50" s="15"/>
    </row>
    <row r="51" spans="1:8">
      <c r="A51" s="39" t="s">
        <v>265</v>
      </c>
      <c r="B51" s="39" t="s">
        <v>266</v>
      </c>
      <c r="C51" s="39" t="s">
        <v>156</v>
      </c>
      <c r="D51" s="39" t="s">
        <v>162</v>
      </c>
      <c r="E51" s="39" t="s">
        <v>100</v>
      </c>
      <c r="F51" s="33">
        <v>53024.38</v>
      </c>
      <c r="G51" s="15">
        <f t="shared" si="0"/>
        <v>53024</v>
      </c>
      <c r="H51" s="15"/>
    </row>
    <row r="52" spans="1:8">
      <c r="A52" s="39" t="s">
        <v>267</v>
      </c>
      <c r="B52" s="39" t="s">
        <v>268</v>
      </c>
      <c r="C52" s="39" t="s">
        <v>156</v>
      </c>
      <c r="D52" s="39" t="s">
        <v>162</v>
      </c>
      <c r="E52" s="39" t="s">
        <v>100</v>
      </c>
      <c r="F52" s="33">
        <v>0</v>
      </c>
      <c r="G52" s="15">
        <f t="shared" si="0"/>
        <v>0</v>
      </c>
      <c r="H52" s="15"/>
    </row>
    <row r="53" spans="1:8">
      <c r="A53" s="39" t="s">
        <v>269</v>
      </c>
      <c r="B53" s="39" t="s">
        <v>270</v>
      </c>
      <c r="C53" s="39" t="s">
        <v>156</v>
      </c>
      <c r="D53" s="39" t="s">
        <v>162</v>
      </c>
      <c r="E53" s="39" t="s">
        <v>100</v>
      </c>
      <c r="F53" s="33">
        <v>0</v>
      </c>
      <c r="G53" s="15">
        <f t="shared" si="0"/>
        <v>0</v>
      </c>
      <c r="H53" s="15"/>
    </row>
    <row r="54" spans="1:8">
      <c r="A54" s="39" t="s">
        <v>2224</v>
      </c>
      <c r="B54" s="39" t="s">
        <v>835</v>
      </c>
      <c r="C54" s="39" t="s">
        <v>156</v>
      </c>
      <c r="D54" s="39" t="s">
        <v>162</v>
      </c>
      <c r="E54" s="39" t="s">
        <v>100</v>
      </c>
      <c r="F54" s="33">
        <v>2875.78</v>
      </c>
      <c r="G54" s="15">
        <f t="shared" si="0"/>
        <v>2876</v>
      </c>
      <c r="H54" s="15"/>
    </row>
    <row r="55" spans="1:8">
      <c r="A55" s="39" t="s">
        <v>271</v>
      </c>
      <c r="B55" s="39" t="s">
        <v>272</v>
      </c>
      <c r="C55" s="39" t="s">
        <v>156</v>
      </c>
      <c r="D55" s="39" t="s">
        <v>162</v>
      </c>
      <c r="E55" s="39" t="s">
        <v>100</v>
      </c>
      <c r="F55" s="33">
        <v>0</v>
      </c>
      <c r="G55" s="15">
        <f t="shared" si="0"/>
        <v>0</v>
      </c>
      <c r="H55" s="15"/>
    </row>
    <row r="56" spans="1:8">
      <c r="A56" s="39" t="s">
        <v>273</v>
      </c>
      <c r="B56" s="39" t="s">
        <v>274</v>
      </c>
      <c r="C56" s="39" t="s">
        <v>156</v>
      </c>
      <c r="D56" s="39" t="s">
        <v>162</v>
      </c>
      <c r="E56" s="39" t="s">
        <v>100</v>
      </c>
      <c r="F56" s="33">
        <v>-15375.72</v>
      </c>
      <c r="G56" s="15">
        <f t="shared" si="0"/>
        <v>-15376</v>
      </c>
      <c r="H56" s="15"/>
    </row>
    <row r="57" spans="1:8">
      <c r="A57" s="39" t="s">
        <v>2225</v>
      </c>
      <c r="B57" s="39" t="s">
        <v>837</v>
      </c>
      <c r="C57" s="39" t="s">
        <v>156</v>
      </c>
      <c r="D57" s="39" t="s">
        <v>162</v>
      </c>
      <c r="E57" s="39" t="s">
        <v>100</v>
      </c>
      <c r="F57" s="33">
        <v>53362.66</v>
      </c>
      <c r="G57" s="15">
        <f t="shared" si="0"/>
        <v>53363</v>
      </c>
      <c r="H57" s="15"/>
    </row>
    <row r="58" spans="1:8">
      <c r="A58" s="39" t="s">
        <v>275</v>
      </c>
      <c r="B58" s="39" t="s">
        <v>254</v>
      </c>
      <c r="C58" s="39" t="s">
        <v>156</v>
      </c>
      <c r="D58" s="39" t="s">
        <v>169</v>
      </c>
      <c r="E58" s="39" t="s">
        <v>276</v>
      </c>
      <c r="F58" s="33">
        <v>-12389.76</v>
      </c>
      <c r="G58" s="15">
        <f t="shared" si="0"/>
        <v>-12390</v>
      </c>
      <c r="H58" s="15"/>
    </row>
    <row r="59" spans="1:8">
      <c r="A59" s="39" t="s">
        <v>277</v>
      </c>
      <c r="B59" s="39" t="s">
        <v>278</v>
      </c>
      <c r="C59" s="39" t="s">
        <v>156</v>
      </c>
      <c r="D59" s="39" t="s">
        <v>169</v>
      </c>
      <c r="E59" s="39" t="s">
        <v>279</v>
      </c>
      <c r="F59" s="33">
        <v>-15848816.949999999</v>
      </c>
      <c r="G59" s="15">
        <f t="shared" si="0"/>
        <v>-15848817</v>
      </c>
      <c r="H59" s="15"/>
    </row>
    <row r="60" spans="1:8">
      <c r="A60" s="39" t="s">
        <v>280</v>
      </c>
      <c r="B60" s="39" t="s">
        <v>281</v>
      </c>
      <c r="C60" s="39" t="s">
        <v>156</v>
      </c>
      <c r="D60" s="39" t="s">
        <v>157</v>
      </c>
      <c r="E60" s="39" t="s">
        <v>100</v>
      </c>
      <c r="F60" s="33">
        <v>0</v>
      </c>
      <c r="G60" s="15">
        <f t="shared" si="0"/>
        <v>0</v>
      </c>
      <c r="H60" s="15"/>
    </row>
    <row r="61" spans="1:8">
      <c r="A61" s="39" t="s">
        <v>282</v>
      </c>
      <c r="B61" s="39" t="s">
        <v>281</v>
      </c>
      <c r="C61" s="39" t="s">
        <v>156</v>
      </c>
      <c r="D61" s="39" t="s">
        <v>157</v>
      </c>
      <c r="E61" s="39" t="s">
        <v>100</v>
      </c>
      <c r="F61" s="33">
        <v>0</v>
      </c>
      <c r="G61" s="15">
        <f t="shared" si="0"/>
        <v>0</v>
      </c>
      <c r="H61" s="15"/>
    </row>
    <row r="62" spans="1:8">
      <c r="A62" s="39" t="s">
        <v>283</v>
      </c>
      <c r="B62" s="39" t="s">
        <v>284</v>
      </c>
      <c r="C62" s="39" t="s">
        <v>156</v>
      </c>
      <c r="D62" s="39" t="s">
        <v>157</v>
      </c>
      <c r="E62" s="39" t="s">
        <v>100</v>
      </c>
      <c r="F62" s="33">
        <v>0</v>
      </c>
      <c r="G62" s="15">
        <f t="shared" si="0"/>
        <v>0</v>
      </c>
      <c r="H62" s="15"/>
    </row>
    <row r="63" spans="1:8">
      <c r="A63" s="39" t="s">
        <v>285</v>
      </c>
      <c r="B63" s="39" t="s">
        <v>286</v>
      </c>
      <c r="C63" s="39" t="s">
        <v>156</v>
      </c>
      <c r="D63" s="39" t="s">
        <v>157</v>
      </c>
      <c r="E63" s="39" t="s">
        <v>100</v>
      </c>
      <c r="F63" s="33">
        <v>0</v>
      </c>
      <c r="G63" s="15">
        <f t="shared" si="0"/>
        <v>0</v>
      </c>
      <c r="H63" s="15"/>
    </row>
    <row r="64" spans="1:8">
      <c r="A64" s="39" t="s">
        <v>287</v>
      </c>
      <c r="B64" s="39" t="s">
        <v>288</v>
      </c>
      <c r="C64" s="39" t="s">
        <v>156</v>
      </c>
      <c r="D64" s="39" t="s">
        <v>162</v>
      </c>
      <c r="E64" s="39" t="s">
        <v>100</v>
      </c>
      <c r="F64" s="33">
        <v>7040782.2400000002</v>
      </c>
      <c r="G64" s="15">
        <f t="shared" si="0"/>
        <v>7040782</v>
      </c>
      <c r="H64" s="15"/>
    </row>
    <row r="65" spans="1:8">
      <c r="A65" s="39" t="s">
        <v>289</v>
      </c>
      <c r="B65" s="39" t="s">
        <v>290</v>
      </c>
      <c r="C65" s="39" t="s">
        <v>156</v>
      </c>
      <c r="D65" s="39" t="s">
        <v>162</v>
      </c>
      <c r="E65" s="39" t="s">
        <v>100</v>
      </c>
      <c r="F65" s="33">
        <v>695.26</v>
      </c>
      <c r="G65" s="15">
        <f t="shared" si="0"/>
        <v>695</v>
      </c>
      <c r="H65" s="15"/>
    </row>
    <row r="66" spans="1:8">
      <c r="A66" s="39" t="s">
        <v>291</v>
      </c>
      <c r="B66" s="39" t="s">
        <v>292</v>
      </c>
      <c r="C66" s="39" t="s">
        <v>156</v>
      </c>
      <c r="D66" s="39" t="s">
        <v>162</v>
      </c>
      <c r="E66" s="39" t="s">
        <v>100</v>
      </c>
      <c r="F66" s="33">
        <v>27555.94</v>
      </c>
      <c r="G66" s="15">
        <f t="shared" si="0"/>
        <v>27556</v>
      </c>
      <c r="H66" s="15"/>
    </row>
    <row r="67" spans="1:8">
      <c r="A67" s="39" t="s">
        <v>293</v>
      </c>
      <c r="B67" s="39" t="s">
        <v>294</v>
      </c>
      <c r="C67" s="39" t="s">
        <v>156</v>
      </c>
      <c r="D67" s="39" t="s">
        <v>162</v>
      </c>
      <c r="E67" s="39" t="s">
        <v>100</v>
      </c>
      <c r="F67" s="33">
        <v>-378538.11</v>
      </c>
      <c r="G67" s="15">
        <f t="shared" si="0"/>
        <v>-378538</v>
      </c>
      <c r="H67" s="15"/>
    </row>
    <row r="68" spans="1:8">
      <c r="A68" s="39" t="s">
        <v>295</v>
      </c>
      <c r="B68" s="39" t="s">
        <v>296</v>
      </c>
      <c r="C68" s="39" t="s">
        <v>156</v>
      </c>
      <c r="D68" s="39" t="s">
        <v>162</v>
      </c>
      <c r="E68" s="39" t="s">
        <v>100</v>
      </c>
      <c r="F68" s="33">
        <v>299693.46999999997</v>
      </c>
      <c r="G68" s="15">
        <f t="shared" si="0"/>
        <v>299693</v>
      </c>
      <c r="H68" s="15"/>
    </row>
    <row r="69" spans="1:8">
      <c r="A69" s="39" t="s">
        <v>297</v>
      </c>
      <c r="B69" s="39" t="s">
        <v>298</v>
      </c>
      <c r="C69" s="39" t="s">
        <v>156</v>
      </c>
      <c r="D69" s="39" t="s">
        <v>162</v>
      </c>
      <c r="E69" s="39" t="s">
        <v>100</v>
      </c>
      <c r="F69" s="33">
        <v>748943.43</v>
      </c>
      <c r="G69" s="15">
        <f t="shared" si="0"/>
        <v>748943</v>
      </c>
      <c r="H69" s="15"/>
    </row>
    <row r="70" spans="1:8">
      <c r="A70" s="39" t="s">
        <v>299</v>
      </c>
      <c r="B70" s="39" t="s">
        <v>300</v>
      </c>
      <c r="C70" s="39" t="s">
        <v>156</v>
      </c>
      <c r="D70" s="39" t="s">
        <v>162</v>
      </c>
      <c r="E70" s="39" t="s">
        <v>100</v>
      </c>
      <c r="F70" s="33">
        <v>200028.58</v>
      </c>
      <c r="G70" s="15">
        <f t="shared" ref="G70:G133" si="1">ROUND(F70,0)</f>
        <v>200029</v>
      </c>
      <c r="H70" s="15"/>
    </row>
    <row r="71" spans="1:8">
      <c r="A71" s="39" t="s">
        <v>301</v>
      </c>
      <c r="B71" s="39" t="s">
        <v>302</v>
      </c>
      <c r="C71" s="39" t="s">
        <v>156</v>
      </c>
      <c r="D71" s="39" t="s">
        <v>162</v>
      </c>
      <c r="E71" s="39" t="s">
        <v>100</v>
      </c>
      <c r="F71" s="33">
        <v>71642.710000000006</v>
      </c>
      <c r="G71" s="15">
        <f t="shared" si="1"/>
        <v>71643</v>
      </c>
      <c r="H71" s="15"/>
    </row>
    <row r="72" spans="1:8">
      <c r="A72" s="39" t="s">
        <v>303</v>
      </c>
      <c r="B72" s="39" t="s">
        <v>304</v>
      </c>
      <c r="C72" s="39" t="s">
        <v>156</v>
      </c>
      <c r="D72" s="39" t="s">
        <v>162</v>
      </c>
      <c r="E72" s="39" t="s">
        <v>100</v>
      </c>
      <c r="F72" s="33">
        <v>11417.3</v>
      </c>
      <c r="G72" s="15">
        <f t="shared" si="1"/>
        <v>11417</v>
      </c>
      <c r="H72" s="15">
        <v>25000</v>
      </c>
    </row>
    <row r="73" spans="1:8">
      <c r="A73" s="39" t="s">
        <v>305</v>
      </c>
      <c r="B73" s="39" t="s">
        <v>306</v>
      </c>
      <c r="C73" s="39" t="s">
        <v>156</v>
      </c>
      <c r="D73" s="39" t="s">
        <v>162</v>
      </c>
      <c r="E73" s="39" t="s">
        <v>100</v>
      </c>
      <c r="F73" s="33">
        <v>113807.13</v>
      </c>
      <c r="G73" s="15">
        <f t="shared" si="1"/>
        <v>113807</v>
      </c>
      <c r="H73" s="15"/>
    </row>
    <row r="74" spans="1:8">
      <c r="A74" s="39" t="s">
        <v>307</v>
      </c>
      <c r="B74" s="39" t="s">
        <v>308</v>
      </c>
      <c r="C74" s="39" t="s">
        <v>156</v>
      </c>
      <c r="D74" s="39" t="s">
        <v>162</v>
      </c>
      <c r="E74" s="39" t="s">
        <v>100</v>
      </c>
      <c r="F74" s="33">
        <v>-43436.81</v>
      </c>
      <c r="G74" s="15">
        <f t="shared" si="1"/>
        <v>-43437</v>
      </c>
      <c r="H74" s="15"/>
    </row>
    <row r="75" spans="1:8">
      <c r="A75" s="39" t="s">
        <v>309</v>
      </c>
      <c r="B75" s="39" t="s">
        <v>310</v>
      </c>
      <c r="C75" s="39" t="s">
        <v>156</v>
      </c>
      <c r="D75" s="39" t="s">
        <v>162</v>
      </c>
      <c r="E75" s="39" t="s">
        <v>100</v>
      </c>
      <c r="F75" s="33">
        <v>25047</v>
      </c>
      <c r="G75" s="15">
        <f t="shared" si="1"/>
        <v>25047</v>
      </c>
      <c r="H75" s="15"/>
    </row>
    <row r="76" spans="1:8">
      <c r="A76" s="39" t="s">
        <v>311</v>
      </c>
      <c r="B76" s="39" t="s">
        <v>312</v>
      </c>
      <c r="C76" s="39" t="s">
        <v>156</v>
      </c>
      <c r="D76" s="39" t="s">
        <v>169</v>
      </c>
      <c r="E76" s="39" t="s">
        <v>313</v>
      </c>
      <c r="F76" s="33">
        <v>8117638.1399999997</v>
      </c>
      <c r="G76" s="15">
        <f t="shared" si="1"/>
        <v>8117638</v>
      </c>
      <c r="H76" s="15"/>
    </row>
    <row r="77" spans="1:8">
      <c r="A77" s="39" t="s">
        <v>314</v>
      </c>
      <c r="B77" s="39" t="s">
        <v>315</v>
      </c>
      <c r="C77" s="39" t="s">
        <v>156</v>
      </c>
      <c r="D77" s="39" t="s">
        <v>157</v>
      </c>
      <c r="E77" s="39" t="s">
        <v>100</v>
      </c>
      <c r="F77" s="33">
        <v>0</v>
      </c>
      <c r="G77" s="15">
        <f t="shared" si="1"/>
        <v>0</v>
      </c>
      <c r="H77" s="15"/>
    </row>
    <row r="78" spans="1:8">
      <c r="A78" s="39" t="s">
        <v>316</v>
      </c>
      <c r="B78" s="39" t="s">
        <v>317</v>
      </c>
      <c r="C78" s="39" t="s">
        <v>156</v>
      </c>
      <c r="D78" s="39" t="s">
        <v>162</v>
      </c>
      <c r="E78" s="39" t="s">
        <v>100</v>
      </c>
      <c r="F78" s="33">
        <v>325358.95</v>
      </c>
      <c r="G78" s="15">
        <f t="shared" si="1"/>
        <v>325359</v>
      </c>
      <c r="H78" s="15"/>
    </row>
    <row r="79" spans="1:8">
      <c r="A79" s="39" t="s">
        <v>318</v>
      </c>
      <c r="B79" s="39" t="s">
        <v>319</v>
      </c>
      <c r="C79" s="39" t="s">
        <v>156</v>
      </c>
      <c r="D79" s="39" t="s">
        <v>162</v>
      </c>
      <c r="E79" s="39" t="s">
        <v>100</v>
      </c>
      <c r="F79" s="33">
        <v>0</v>
      </c>
      <c r="G79" s="15">
        <f t="shared" si="1"/>
        <v>0</v>
      </c>
      <c r="H79" s="15"/>
    </row>
    <row r="80" spans="1:8">
      <c r="A80" s="39" t="s">
        <v>320</v>
      </c>
      <c r="B80" s="39" t="s">
        <v>321</v>
      </c>
      <c r="C80" s="39" t="s">
        <v>156</v>
      </c>
      <c r="D80" s="39" t="s">
        <v>162</v>
      </c>
      <c r="E80" s="39" t="s">
        <v>100</v>
      </c>
      <c r="F80" s="33">
        <v>108501.87</v>
      </c>
      <c r="G80" s="15">
        <f t="shared" si="1"/>
        <v>108502</v>
      </c>
      <c r="H80" s="15"/>
    </row>
    <row r="81" spans="1:8">
      <c r="A81" s="39" t="s">
        <v>322</v>
      </c>
      <c r="B81" s="39" t="s">
        <v>323</v>
      </c>
      <c r="C81" s="39" t="s">
        <v>156</v>
      </c>
      <c r="D81" s="39" t="s">
        <v>162</v>
      </c>
      <c r="E81" s="39" t="s">
        <v>100</v>
      </c>
      <c r="F81" s="33">
        <v>357925.81</v>
      </c>
      <c r="G81" s="15">
        <f t="shared" si="1"/>
        <v>357926</v>
      </c>
      <c r="H81" s="15"/>
    </row>
    <row r="82" spans="1:8">
      <c r="A82" s="39" t="s">
        <v>324</v>
      </c>
      <c r="B82" s="39" t="s">
        <v>325</v>
      </c>
      <c r="C82" s="39" t="s">
        <v>156</v>
      </c>
      <c r="D82" s="39" t="s">
        <v>162</v>
      </c>
      <c r="E82" s="39" t="s">
        <v>100</v>
      </c>
      <c r="F82" s="33">
        <v>11793.75</v>
      </c>
      <c r="G82" s="15">
        <f t="shared" si="1"/>
        <v>11794</v>
      </c>
      <c r="H82" s="15"/>
    </row>
    <row r="83" spans="1:8">
      <c r="A83" s="39" t="s">
        <v>326</v>
      </c>
      <c r="B83" s="39" t="s">
        <v>2150</v>
      </c>
      <c r="C83" s="39" t="s">
        <v>156</v>
      </c>
      <c r="D83" s="39" t="s">
        <v>162</v>
      </c>
      <c r="E83" s="39" t="s">
        <v>100</v>
      </c>
      <c r="F83" s="33">
        <v>33887.35</v>
      </c>
      <c r="G83" s="15">
        <f t="shared" si="1"/>
        <v>33887</v>
      </c>
      <c r="H83" s="15"/>
    </row>
    <row r="84" spans="1:8">
      <c r="A84" s="39" t="s">
        <v>328</v>
      </c>
      <c r="B84" s="39" t="s">
        <v>329</v>
      </c>
      <c r="C84" s="39" t="s">
        <v>156</v>
      </c>
      <c r="D84" s="39" t="s">
        <v>169</v>
      </c>
      <c r="E84" s="39" t="s">
        <v>330</v>
      </c>
      <c r="F84" s="33">
        <v>837467.73</v>
      </c>
      <c r="G84" s="15">
        <f t="shared" si="1"/>
        <v>837468</v>
      </c>
      <c r="H84" s="15"/>
    </row>
    <row r="85" spans="1:8">
      <c r="A85" s="39" t="s">
        <v>331</v>
      </c>
      <c r="B85" s="39" t="s">
        <v>332</v>
      </c>
      <c r="C85" s="39" t="s">
        <v>156</v>
      </c>
      <c r="D85" s="39" t="s">
        <v>157</v>
      </c>
      <c r="E85" s="39" t="s">
        <v>100</v>
      </c>
      <c r="F85" s="33">
        <v>0</v>
      </c>
      <c r="G85" s="15">
        <f t="shared" si="1"/>
        <v>0</v>
      </c>
      <c r="H85" s="15"/>
    </row>
    <row r="86" spans="1:8">
      <c r="A86" s="39" t="s">
        <v>333</v>
      </c>
      <c r="B86" s="39" t="s">
        <v>334</v>
      </c>
      <c r="C86" s="39" t="s">
        <v>156</v>
      </c>
      <c r="D86" s="39" t="s">
        <v>162</v>
      </c>
      <c r="E86" s="39" t="s">
        <v>100</v>
      </c>
      <c r="F86" s="33">
        <v>273815.76</v>
      </c>
      <c r="G86" s="15">
        <f t="shared" si="1"/>
        <v>273816</v>
      </c>
      <c r="H86" s="15"/>
    </row>
    <row r="87" spans="1:8">
      <c r="A87" s="39" t="s">
        <v>335</v>
      </c>
      <c r="B87" s="39" t="s">
        <v>336</v>
      </c>
      <c r="C87" s="39" t="s">
        <v>156</v>
      </c>
      <c r="D87" s="39" t="s">
        <v>162</v>
      </c>
      <c r="E87" s="39" t="s">
        <v>100</v>
      </c>
      <c r="F87" s="33">
        <v>109428.45</v>
      </c>
      <c r="G87" s="15">
        <f t="shared" si="1"/>
        <v>109428</v>
      </c>
      <c r="H87" s="15"/>
    </row>
    <row r="88" spans="1:8">
      <c r="A88" s="39" t="s">
        <v>337</v>
      </c>
      <c r="B88" s="39" t="s">
        <v>338</v>
      </c>
      <c r="C88" s="39" t="s">
        <v>156</v>
      </c>
      <c r="D88" s="39" t="s">
        <v>169</v>
      </c>
      <c r="E88" s="39" t="s">
        <v>339</v>
      </c>
      <c r="F88" s="33">
        <v>383244.21</v>
      </c>
      <c r="G88" s="15">
        <f t="shared" si="1"/>
        <v>383244</v>
      </c>
      <c r="H88" s="15"/>
    </row>
    <row r="89" spans="1:8">
      <c r="A89" s="39" t="s">
        <v>340</v>
      </c>
      <c r="B89" s="39" t="s">
        <v>341</v>
      </c>
      <c r="C89" s="39" t="s">
        <v>156</v>
      </c>
      <c r="D89" s="39" t="s">
        <v>169</v>
      </c>
      <c r="E89" s="39" t="s">
        <v>342</v>
      </c>
      <c r="F89" s="33">
        <v>9338350.0800000001</v>
      </c>
      <c r="G89" s="15">
        <f t="shared" si="1"/>
        <v>9338350</v>
      </c>
      <c r="H89" s="15"/>
    </row>
    <row r="90" spans="1:8">
      <c r="A90" s="39" t="s">
        <v>2151</v>
      </c>
      <c r="B90" s="39" t="s">
        <v>371</v>
      </c>
      <c r="C90" s="39" t="s">
        <v>156</v>
      </c>
      <c r="D90" s="39" t="s">
        <v>157</v>
      </c>
      <c r="E90" s="39" t="s">
        <v>100</v>
      </c>
      <c r="F90" s="33">
        <v>0</v>
      </c>
      <c r="G90" s="15">
        <f t="shared" si="1"/>
        <v>0</v>
      </c>
      <c r="H90" s="15"/>
    </row>
    <row r="91" spans="1:8">
      <c r="A91" s="39" t="s">
        <v>343</v>
      </c>
      <c r="B91" s="39" t="s">
        <v>2183</v>
      </c>
      <c r="C91" s="39" t="s">
        <v>156</v>
      </c>
      <c r="D91" s="39" t="s">
        <v>157</v>
      </c>
      <c r="E91" s="39" t="s">
        <v>100</v>
      </c>
      <c r="F91" s="33">
        <v>0</v>
      </c>
      <c r="G91" s="15">
        <f t="shared" si="1"/>
        <v>0</v>
      </c>
      <c r="H91" s="15"/>
    </row>
    <row r="92" spans="1:8">
      <c r="A92" s="39" t="s">
        <v>361</v>
      </c>
      <c r="B92" s="39" t="s">
        <v>2152</v>
      </c>
      <c r="C92" s="39" t="s">
        <v>156</v>
      </c>
      <c r="D92" s="39" t="s">
        <v>162</v>
      </c>
      <c r="E92" s="39" t="s">
        <v>100</v>
      </c>
      <c r="F92" s="33">
        <v>0</v>
      </c>
      <c r="G92" s="15">
        <f t="shared" si="1"/>
        <v>0</v>
      </c>
      <c r="H92" s="15"/>
    </row>
    <row r="93" spans="1:8">
      <c r="A93" s="39" t="s">
        <v>363</v>
      </c>
      <c r="B93" s="39" t="s">
        <v>2153</v>
      </c>
      <c r="C93" s="39" t="s">
        <v>156</v>
      </c>
      <c r="D93" s="39" t="s">
        <v>162</v>
      </c>
      <c r="E93" s="39" t="s">
        <v>100</v>
      </c>
      <c r="F93" s="33">
        <v>0</v>
      </c>
      <c r="G93" s="15">
        <f t="shared" si="1"/>
        <v>0</v>
      </c>
      <c r="H93" s="15"/>
    </row>
    <row r="94" spans="1:8">
      <c r="A94" s="39" t="s">
        <v>365</v>
      </c>
      <c r="B94" s="39" t="s">
        <v>366</v>
      </c>
      <c r="C94" s="39" t="s">
        <v>156</v>
      </c>
      <c r="D94" s="39" t="s">
        <v>162</v>
      </c>
      <c r="E94" s="39" t="s">
        <v>100</v>
      </c>
      <c r="F94" s="33">
        <v>0</v>
      </c>
      <c r="G94" s="15">
        <f t="shared" si="1"/>
        <v>0</v>
      </c>
      <c r="H94" s="15"/>
    </row>
    <row r="95" spans="1:8">
      <c r="A95" s="39" t="s">
        <v>2227</v>
      </c>
      <c r="B95" s="39" t="s">
        <v>2228</v>
      </c>
      <c r="C95" s="39" t="s">
        <v>156</v>
      </c>
      <c r="D95" s="39" t="s">
        <v>169</v>
      </c>
      <c r="E95" s="39" t="s">
        <v>2229</v>
      </c>
      <c r="F95" s="33">
        <v>0</v>
      </c>
      <c r="G95" s="15">
        <f t="shared" si="1"/>
        <v>0</v>
      </c>
      <c r="H95" s="15"/>
    </row>
    <row r="96" spans="1:8">
      <c r="A96" s="39" t="s">
        <v>370</v>
      </c>
      <c r="B96" s="39" t="s">
        <v>2154</v>
      </c>
      <c r="C96" s="39" t="s">
        <v>156</v>
      </c>
      <c r="D96" s="39" t="s">
        <v>157</v>
      </c>
      <c r="E96" s="39" t="s">
        <v>100</v>
      </c>
      <c r="F96" s="33">
        <v>0</v>
      </c>
      <c r="G96" s="15">
        <f t="shared" si="1"/>
        <v>0</v>
      </c>
      <c r="H96" s="15"/>
    </row>
    <row r="97" spans="1:8">
      <c r="A97" s="39" t="s">
        <v>374</v>
      </c>
      <c r="B97" s="39" t="s">
        <v>53</v>
      </c>
      <c r="C97" s="39" t="s">
        <v>156</v>
      </c>
      <c r="D97" s="39" t="s">
        <v>162</v>
      </c>
      <c r="E97" s="39" t="s">
        <v>100</v>
      </c>
      <c r="F97" s="33">
        <v>-31465</v>
      </c>
      <c r="G97" s="15">
        <f t="shared" si="1"/>
        <v>-31465</v>
      </c>
      <c r="H97" s="15">
        <v>-1720</v>
      </c>
    </row>
    <row r="98" spans="1:8">
      <c r="A98" s="39" t="s">
        <v>2155</v>
      </c>
      <c r="B98" s="39" t="s">
        <v>2156</v>
      </c>
      <c r="C98" s="39" t="s">
        <v>156</v>
      </c>
      <c r="D98" s="39" t="s">
        <v>162</v>
      </c>
      <c r="E98" s="39" t="s">
        <v>100</v>
      </c>
      <c r="F98" s="33">
        <v>0</v>
      </c>
      <c r="G98" s="15">
        <f t="shared" si="1"/>
        <v>0</v>
      </c>
      <c r="H98" s="15"/>
    </row>
    <row r="99" spans="1:8">
      <c r="A99" s="39" t="s">
        <v>378</v>
      </c>
      <c r="B99" s="39" t="s">
        <v>379</v>
      </c>
      <c r="C99" s="39" t="s">
        <v>156</v>
      </c>
      <c r="D99" s="39" t="s">
        <v>169</v>
      </c>
      <c r="E99" s="39" t="s">
        <v>2157</v>
      </c>
      <c r="F99" s="33">
        <v>-31465</v>
      </c>
      <c r="G99" s="15">
        <f t="shared" si="1"/>
        <v>-31465</v>
      </c>
      <c r="H99" s="15"/>
    </row>
    <row r="100" spans="1:8">
      <c r="A100" s="39" t="s">
        <v>2187</v>
      </c>
      <c r="B100" s="39" t="s">
        <v>2210</v>
      </c>
      <c r="C100" s="39" t="s">
        <v>156</v>
      </c>
      <c r="D100" s="39" t="s">
        <v>157</v>
      </c>
      <c r="E100" s="39" t="s">
        <v>100</v>
      </c>
      <c r="F100" s="33">
        <v>0</v>
      </c>
      <c r="G100" s="15">
        <f t="shared" si="1"/>
        <v>0</v>
      </c>
      <c r="H100" s="15"/>
    </row>
    <row r="101" spans="1:8">
      <c r="A101" s="39" t="s">
        <v>2188</v>
      </c>
      <c r="B101" s="39" t="s">
        <v>346</v>
      </c>
      <c r="C101" s="39" t="s">
        <v>156</v>
      </c>
      <c r="D101" s="39" t="s">
        <v>162</v>
      </c>
      <c r="E101" s="39" t="s">
        <v>100</v>
      </c>
      <c r="F101" s="33">
        <v>38547.56</v>
      </c>
      <c r="G101" s="15">
        <f t="shared" si="1"/>
        <v>38548</v>
      </c>
      <c r="H101" s="15"/>
    </row>
    <row r="102" spans="1:8">
      <c r="A102" s="39" t="s">
        <v>2189</v>
      </c>
      <c r="B102" s="39" t="s">
        <v>2297</v>
      </c>
      <c r="C102" s="39" t="s">
        <v>156</v>
      </c>
      <c r="D102" s="39" t="s">
        <v>162</v>
      </c>
      <c r="E102" s="39" t="s">
        <v>100</v>
      </c>
      <c r="F102" s="33">
        <v>25164.25</v>
      </c>
      <c r="G102" s="15">
        <f t="shared" si="1"/>
        <v>25164</v>
      </c>
      <c r="H102" s="15"/>
    </row>
    <row r="103" spans="1:8">
      <c r="A103" s="39" t="s">
        <v>2190</v>
      </c>
      <c r="B103" s="39" t="s">
        <v>350</v>
      </c>
      <c r="C103" s="39" t="s">
        <v>156</v>
      </c>
      <c r="D103" s="39" t="s">
        <v>162</v>
      </c>
      <c r="E103" s="39" t="s">
        <v>100</v>
      </c>
      <c r="F103" s="33">
        <v>28491.43</v>
      </c>
      <c r="G103" s="15">
        <f t="shared" si="1"/>
        <v>28491</v>
      </c>
      <c r="H103" s="15"/>
    </row>
    <row r="104" spans="1:8">
      <c r="A104" s="39" t="s">
        <v>2191</v>
      </c>
      <c r="B104" s="39" t="s">
        <v>352</v>
      </c>
      <c r="C104" s="39" t="s">
        <v>156</v>
      </c>
      <c r="D104" s="39" t="s">
        <v>162</v>
      </c>
      <c r="E104" s="39" t="s">
        <v>100</v>
      </c>
      <c r="F104" s="33">
        <v>413076.49</v>
      </c>
      <c r="G104" s="15">
        <f t="shared" si="1"/>
        <v>413076</v>
      </c>
      <c r="H104" s="15">
        <v>-180000</v>
      </c>
    </row>
    <row r="105" spans="1:8">
      <c r="A105" s="39" t="s">
        <v>2192</v>
      </c>
      <c r="B105" s="39" t="s">
        <v>2298</v>
      </c>
      <c r="C105" s="39" t="s">
        <v>156</v>
      </c>
      <c r="D105" s="39" t="s">
        <v>162</v>
      </c>
      <c r="E105" s="39" t="s">
        <v>100</v>
      </c>
      <c r="F105" s="33">
        <v>796.52</v>
      </c>
      <c r="G105" s="15">
        <f t="shared" si="1"/>
        <v>797</v>
      </c>
      <c r="H105" s="15"/>
    </row>
    <row r="106" spans="1:8">
      <c r="A106" s="39" t="s">
        <v>2193</v>
      </c>
      <c r="B106" s="39" t="s">
        <v>2271</v>
      </c>
      <c r="C106" s="39" t="s">
        <v>156</v>
      </c>
      <c r="D106" s="39" t="s">
        <v>162</v>
      </c>
      <c r="E106" s="39" t="s">
        <v>100</v>
      </c>
      <c r="F106" s="33">
        <v>-1350</v>
      </c>
      <c r="G106" s="15">
        <f t="shared" si="1"/>
        <v>-1350</v>
      </c>
      <c r="H106" s="15"/>
    </row>
    <row r="107" spans="1:8">
      <c r="A107" s="39" t="s">
        <v>2194</v>
      </c>
      <c r="B107" s="39" t="s">
        <v>2272</v>
      </c>
      <c r="C107" s="39" t="s">
        <v>156</v>
      </c>
      <c r="D107" s="39" t="s">
        <v>162</v>
      </c>
      <c r="E107" s="39" t="s">
        <v>100</v>
      </c>
      <c r="F107" s="33">
        <v>1802</v>
      </c>
      <c r="G107" s="15">
        <f t="shared" si="1"/>
        <v>1802</v>
      </c>
      <c r="H107" s="15"/>
    </row>
    <row r="108" spans="1:8">
      <c r="A108" s="39" t="s">
        <v>2195</v>
      </c>
      <c r="B108" s="39" t="s">
        <v>2273</v>
      </c>
      <c r="C108" s="39" t="s">
        <v>156</v>
      </c>
      <c r="D108" s="39" t="s">
        <v>162</v>
      </c>
      <c r="E108" s="39" t="s">
        <v>100</v>
      </c>
      <c r="F108" s="33">
        <v>2154.15</v>
      </c>
      <c r="G108" s="15">
        <f t="shared" si="1"/>
        <v>2154</v>
      </c>
      <c r="H108" s="15"/>
    </row>
    <row r="109" spans="1:8">
      <c r="A109" s="39" t="s">
        <v>2232</v>
      </c>
      <c r="B109" s="39" t="s">
        <v>2214</v>
      </c>
      <c r="C109" s="39" t="s">
        <v>156</v>
      </c>
      <c r="D109" s="39" t="s">
        <v>169</v>
      </c>
      <c r="E109" s="39" t="s">
        <v>2233</v>
      </c>
      <c r="F109" s="33">
        <v>508682.4</v>
      </c>
      <c r="G109" s="15">
        <f t="shared" si="1"/>
        <v>508682</v>
      </c>
      <c r="H109" s="15"/>
    </row>
    <row r="110" spans="1:8">
      <c r="A110" s="39" t="s">
        <v>381</v>
      </c>
      <c r="B110" s="39" t="s">
        <v>382</v>
      </c>
      <c r="C110" s="39" t="s">
        <v>156</v>
      </c>
      <c r="D110" s="39" t="s">
        <v>157</v>
      </c>
      <c r="E110" s="39" t="s">
        <v>100</v>
      </c>
      <c r="F110" s="33">
        <v>0</v>
      </c>
      <c r="G110" s="15">
        <f t="shared" si="1"/>
        <v>0</v>
      </c>
      <c r="H110" s="15"/>
    </row>
    <row r="111" spans="1:8">
      <c r="A111" s="39" t="s">
        <v>383</v>
      </c>
      <c r="B111" s="39" t="s">
        <v>384</v>
      </c>
      <c r="C111" s="39" t="s">
        <v>156</v>
      </c>
      <c r="D111" s="39" t="s">
        <v>162</v>
      </c>
      <c r="E111" s="39" t="s">
        <v>100</v>
      </c>
      <c r="F111" s="33">
        <v>124470.59</v>
      </c>
      <c r="G111" s="15">
        <f t="shared" si="1"/>
        <v>124471</v>
      </c>
      <c r="H111" s="15">
        <f>1170.13+38513.9</f>
        <v>39684.03</v>
      </c>
    </row>
    <row r="112" spans="1:8">
      <c r="A112" s="39" t="s">
        <v>385</v>
      </c>
      <c r="B112" s="39" t="s">
        <v>386</v>
      </c>
      <c r="C112" s="39" t="s">
        <v>156</v>
      </c>
      <c r="D112" s="39" t="s">
        <v>162</v>
      </c>
      <c r="E112" s="39" t="s">
        <v>100</v>
      </c>
      <c r="F112" s="33">
        <v>69850.69</v>
      </c>
      <c r="G112" s="15">
        <f t="shared" si="1"/>
        <v>69851</v>
      </c>
      <c r="H112" s="15"/>
    </row>
    <row r="113" spans="1:8">
      <c r="A113" s="39" t="s">
        <v>387</v>
      </c>
      <c r="B113" s="39" t="s">
        <v>2234</v>
      </c>
      <c r="C113" s="39" t="s">
        <v>156</v>
      </c>
      <c r="D113" s="39" t="s">
        <v>162</v>
      </c>
      <c r="E113" s="39" t="s">
        <v>100</v>
      </c>
      <c r="F113" s="33">
        <v>0</v>
      </c>
      <c r="G113" s="15">
        <f t="shared" si="1"/>
        <v>0</v>
      </c>
      <c r="H113" s="15"/>
    </row>
    <row r="114" spans="1:8">
      <c r="A114" s="39" t="s">
        <v>389</v>
      </c>
      <c r="B114" s="39" t="s">
        <v>390</v>
      </c>
      <c r="C114" s="39" t="s">
        <v>156</v>
      </c>
      <c r="D114" s="39" t="s">
        <v>162</v>
      </c>
      <c r="E114" s="39" t="s">
        <v>100</v>
      </c>
      <c r="F114" s="33">
        <v>33476.339999999997</v>
      </c>
      <c r="G114" s="15">
        <f t="shared" si="1"/>
        <v>33476</v>
      </c>
      <c r="H114" s="15"/>
    </row>
    <row r="115" spans="1:8">
      <c r="A115" s="39" t="s">
        <v>391</v>
      </c>
      <c r="B115" s="39" t="s">
        <v>2299</v>
      </c>
      <c r="C115" s="39" t="s">
        <v>156</v>
      </c>
      <c r="D115" s="39" t="s">
        <v>162</v>
      </c>
      <c r="E115" s="39" t="s">
        <v>100</v>
      </c>
      <c r="F115" s="33">
        <v>5145.3999999999996</v>
      </c>
      <c r="G115" s="15">
        <f t="shared" si="1"/>
        <v>5145</v>
      </c>
      <c r="H115" s="15"/>
    </row>
    <row r="116" spans="1:8">
      <c r="A116" s="39" t="s">
        <v>393</v>
      </c>
      <c r="B116" s="39" t="s">
        <v>394</v>
      </c>
      <c r="C116" s="39" t="s">
        <v>156</v>
      </c>
      <c r="D116" s="39" t="s">
        <v>162</v>
      </c>
      <c r="E116" s="39" t="s">
        <v>100</v>
      </c>
      <c r="F116" s="33">
        <v>1800</v>
      </c>
      <c r="G116" s="15">
        <f t="shared" si="1"/>
        <v>1800</v>
      </c>
      <c r="H116" s="15"/>
    </row>
    <row r="117" spans="1:8">
      <c r="A117" s="39" t="s">
        <v>395</v>
      </c>
      <c r="B117" s="39" t="s">
        <v>396</v>
      </c>
      <c r="C117" s="39" t="s">
        <v>156</v>
      </c>
      <c r="D117" s="39" t="s">
        <v>162</v>
      </c>
      <c r="E117" s="39" t="s">
        <v>100</v>
      </c>
      <c r="F117" s="33">
        <v>2379.4</v>
      </c>
      <c r="G117" s="15">
        <f t="shared" si="1"/>
        <v>2379</v>
      </c>
      <c r="H117" s="15"/>
    </row>
    <row r="118" spans="1:8">
      <c r="A118" s="39" t="s">
        <v>397</v>
      </c>
      <c r="B118" s="39" t="s">
        <v>398</v>
      </c>
      <c r="C118" s="39" t="s">
        <v>156</v>
      </c>
      <c r="D118" s="39" t="s">
        <v>162</v>
      </c>
      <c r="E118" s="39" t="s">
        <v>100</v>
      </c>
      <c r="F118" s="33">
        <v>25645.65</v>
      </c>
      <c r="G118" s="15">
        <f t="shared" si="1"/>
        <v>25646</v>
      </c>
      <c r="H118" s="15"/>
    </row>
    <row r="119" spans="1:8">
      <c r="A119" s="39" t="s">
        <v>399</v>
      </c>
      <c r="B119" s="39" t="s">
        <v>400</v>
      </c>
      <c r="C119" s="39" t="s">
        <v>156</v>
      </c>
      <c r="D119" s="39" t="s">
        <v>162</v>
      </c>
      <c r="E119" s="39" t="s">
        <v>100</v>
      </c>
      <c r="F119" s="33">
        <v>-983.74</v>
      </c>
      <c r="G119" s="15">
        <f t="shared" si="1"/>
        <v>-984</v>
      </c>
      <c r="H119" s="15"/>
    </row>
    <row r="120" spans="1:8">
      <c r="A120" s="39" t="s">
        <v>401</v>
      </c>
      <c r="B120" s="39" t="s">
        <v>402</v>
      </c>
      <c r="C120" s="39" t="s">
        <v>156</v>
      </c>
      <c r="D120" s="39" t="s">
        <v>162</v>
      </c>
      <c r="E120" s="39" t="s">
        <v>100</v>
      </c>
      <c r="F120" s="33">
        <v>25220.560000000001</v>
      </c>
      <c r="G120" s="15">
        <f t="shared" si="1"/>
        <v>25221</v>
      </c>
      <c r="H120" s="15"/>
    </row>
    <row r="121" spans="1:8">
      <c r="A121" s="39" t="s">
        <v>403</v>
      </c>
      <c r="B121" s="39" t="s">
        <v>2023</v>
      </c>
      <c r="C121" s="39" t="s">
        <v>156</v>
      </c>
      <c r="D121" s="39" t="s">
        <v>162</v>
      </c>
      <c r="E121" s="39" t="s">
        <v>100</v>
      </c>
      <c r="F121" s="33">
        <v>0</v>
      </c>
      <c r="G121" s="15">
        <f t="shared" si="1"/>
        <v>0</v>
      </c>
      <c r="H121" s="15"/>
    </row>
    <row r="122" spans="1:8">
      <c r="A122" s="39" t="s">
        <v>405</v>
      </c>
      <c r="B122" s="39" t="s">
        <v>2215</v>
      </c>
      <c r="C122" s="39" t="s">
        <v>156</v>
      </c>
      <c r="D122" s="39" t="s">
        <v>162</v>
      </c>
      <c r="E122" s="39" t="s">
        <v>100</v>
      </c>
      <c r="F122" s="33">
        <v>28.17</v>
      </c>
      <c r="G122" s="15">
        <f t="shared" si="1"/>
        <v>28</v>
      </c>
      <c r="H122" s="15"/>
    </row>
    <row r="123" spans="1:8">
      <c r="A123" s="39" t="s">
        <v>407</v>
      </c>
      <c r="B123" s="39" t="s">
        <v>2216</v>
      </c>
      <c r="C123" s="39" t="s">
        <v>156</v>
      </c>
      <c r="D123" s="39" t="s">
        <v>162</v>
      </c>
      <c r="E123" s="39" t="s">
        <v>100</v>
      </c>
      <c r="F123" s="33">
        <v>-175676.49</v>
      </c>
      <c r="G123" s="15">
        <f t="shared" si="1"/>
        <v>-175676</v>
      </c>
      <c r="H123" s="15"/>
    </row>
    <row r="124" spans="1:8">
      <c r="A124" s="39" t="s">
        <v>408</v>
      </c>
      <c r="B124" s="39" t="s">
        <v>409</v>
      </c>
      <c r="C124" s="39" t="s">
        <v>156</v>
      </c>
      <c r="D124" s="39" t="s">
        <v>169</v>
      </c>
      <c r="E124" s="39" t="s">
        <v>410</v>
      </c>
      <c r="F124" s="33">
        <v>111356.57</v>
      </c>
      <c r="G124" s="15">
        <f t="shared" si="1"/>
        <v>111357</v>
      </c>
      <c r="H124" s="15"/>
    </row>
    <row r="125" spans="1:8">
      <c r="A125" s="39" t="s">
        <v>411</v>
      </c>
      <c r="B125" s="39" t="s">
        <v>412</v>
      </c>
      <c r="C125" s="39" t="s">
        <v>156</v>
      </c>
      <c r="D125" s="39" t="s">
        <v>157</v>
      </c>
      <c r="E125" s="39" t="s">
        <v>100</v>
      </c>
      <c r="F125" s="33">
        <v>0</v>
      </c>
      <c r="G125" s="15">
        <f t="shared" si="1"/>
        <v>0</v>
      </c>
      <c r="H125" s="15"/>
    </row>
    <row r="126" spans="1:8">
      <c r="A126" s="39" t="s">
        <v>413</v>
      </c>
      <c r="B126" s="39" t="s">
        <v>414</v>
      </c>
      <c r="C126" s="39" t="s">
        <v>156</v>
      </c>
      <c r="D126" s="39" t="s">
        <v>162</v>
      </c>
      <c r="E126" s="39" t="s">
        <v>100</v>
      </c>
      <c r="F126" s="33">
        <v>10764.83</v>
      </c>
      <c r="G126" s="15">
        <f t="shared" si="1"/>
        <v>10765</v>
      </c>
      <c r="H126" s="15"/>
    </row>
    <row r="127" spans="1:8">
      <c r="A127" s="39" t="s">
        <v>415</v>
      </c>
      <c r="B127" s="39" t="s">
        <v>416</v>
      </c>
      <c r="C127" s="39" t="s">
        <v>156</v>
      </c>
      <c r="D127" s="39" t="s">
        <v>169</v>
      </c>
      <c r="E127" s="39" t="s">
        <v>417</v>
      </c>
      <c r="F127" s="33">
        <v>10764.83</v>
      </c>
      <c r="G127" s="15">
        <f t="shared" si="1"/>
        <v>10765</v>
      </c>
      <c r="H127" s="15"/>
    </row>
    <row r="128" spans="1:8">
      <c r="A128" s="39" t="s">
        <v>418</v>
      </c>
      <c r="B128" s="39" t="s">
        <v>419</v>
      </c>
      <c r="C128" s="39" t="s">
        <v>156</v>
      </c>
      <c r="D128" s="39" t="s">
        <v>157</v>
      </c>
      <c r="E128" s="39" t="s">
        <v>100</v>
      </c>
      <c r="F128" s="33">
        <v>0</v>
      </c>
      <c r="G128" s="15">
        <f t="shared" si="1"/>
        <v>0</v>
      </c>
      <c r="H128" s="15"/>
    </row>
    <row r="129" spans="1:9">
      <c r="A129" s="39" t="s">
        <v>420</v>
      </c>
      <c r="B129" s="39" t="s">
        <v>56</v>
      </c>
      <c r="C129" s="39" t="s">
        <v>156</v>
      </c>
      <c r="D129" s="39" t="s">
        <v>162</v>
      </c>
      <c r="E129" s="39" t="s">
        <v>100</v>
      </c>
      <c r="F129" s="33">
        <v>127996.88</v>
      </c>
      <c r="G129" s="15">
        <f t="shared" si="1"/>
        <v>127997</v>
      </c>
      <c r="H129" s="15"/>
    </row>
    <row r="130" spans="1:9">
      <c r="A130" s="39" t="s">
        <v>421</v>
      </c>
      <c r="B130" s="39" t="s">
        <v>422</v>
      </c>
      <c r="C130" s="39" t="s">
        <v>156</v>
      </c>
      <c r="D130" s="39" t="s">
        <v>169</v>
      </c>
      <c r="E130" s="39" t="s">
        <v>423</v>
      </c>
      <c r="F130" s="33">
        <v>127996.88</v>
      </c>
      <c r="G130" s="15">
        <f t="shared" si="1"/>
        <v>127997</v>
      </c>
      <c r="H130" s="15"/>
    </row>
    <row r="131" spans="1:9">
      <c r="A131" s="39" t="s">
        <v>2158</v>
      </c>
      <c r="B131" s="39" t="s">
        <v>425</v>
      </c>
      <c r="C131" s="39" t="s">
        <v>156</v>
      </c>
      <c r="D131" s="39" t="s">
        <v>169</v>
      </c>
      <c r="E131" s="39" t="s">
        <v>2159</v>
      </c>
      <c r="F131" s="33">
        <v>727335.68</v>
      </c>
      <c r="G131" s="15">
        <f t="shared" si="1"/>
        <v>727336</v>
      </c>
      <c r="H131" s="15"/>
    </row>
    <row r="132" spans="1:9">
      <c r="A132" s="39" t="s">
        <v>427</v>
      </c>
      <c r="B132" s="39" t="s">
        <v>428</v>
      </c>
      <c r="C132" s="39" t="s">
        <v>156</v>
      </c>
      <c r="D132" s="39" t="s">
        <v>157</v>
      </c>
      <c r="E132" s="39" t="s">
        <v>100</v>
      </c>
      <c r="F132" s="33">
        <v>0</v>
      </c>
      <c r="G132" s="15">
        <f t="shared" si="1"/>
        <v>0</v>
      </c>
      <c r="H132" s="15"/>
    </row>
    <row r="133" spans="1:9">
      <c r="A133" s="39" t="s">
        <v>430</v>
      </c>
      <c r="B133" s="39" t="s">
        <v>725</v>
      </c>
      <c r="C133" s="39" t="s">
        <v>156</v>
      </c>
      <c r="D133" s="39" t="s">
        <v>162</v>
      </c>
      <c r="E133" s="39" t="s">
        <v>100</v>
      </c>
      <c r="F133" s="33">
        <v>-164</v>
      </c>
      <c r="G133" s="15">
        <f t="shared" si="1"/>
        <v>-164</v>
      </c>
      <c r="H133" s="15"/>
    </row>
    <row r="134" spans="1:9">
      <c r="A134" s="39" t="s">
        <v>439</v>
      </c>
      <c r="B134" s="39" t="s">
        <v>440</v>
      </c>
      <c r="C134" s="39" t="s">
        <v>156</v>
      </c>
      <c r="D134" s="39" t="s">
        <v>162</v>
      </c>
      <c r="E134" s="39" t="s">
        <v>100</v>
      </c>
      <c r="F134" s="33">
        <v>-65956.759999999995</v>
      </c>
      <c r="G134" s="15">
        <f t="shared" ref="G134:G197" si="2">ROUND(F134,0)</f>
        <v>-65957</v>
      </c>
      <c r="H134" s="15"/>
    </row>
    <row r="135" spans="1:9">
      <c r="A135" s="39" t="s">
        <v>441</v>
      </c>
      <c r="B135" s="39" t="s">
        <v>2160</v>
      </c>
      <c r="C135" s="39" t="s">
        <v>156</v>
      </c>
      <c r="D135" s="39" t="s">
        <v>162</v>
      </c>
      <c r="E135" s="39" t="s">
        <v>100</v>
      </c>
      <c r="F135" s="33">
        <v>0</v>
      </c>
      <c r="G135" s="15">
        <f t="shared" si="2"/>
        <v>0</v>
      </c>
      <c r="H135" s="15"/>
    </row>
    <row r="136" spans="1:9">
      <c r="A136" s="39" t="s">
        <v>443</v>
      </c>
      <c r="B136" s="39" t="s">
        <v>216</v>
      </c>
      <c r="C136" s="39" t="s">
        <v>156</v>
      </c>
      <c r="D136" s="39" t="s">
        <v>162</v>
      </c>
      <c r="E136" s="39" t="s">
        <v>100</v>
      </c>
      <c r="F136" s="33">
        <v>40250</v>
      </c>
      <c r="G136" s="15">
        <f t="shared" si="2"/>
        <v>40250</v>
      </c>
      <c r="H136" s="15"/>
    </row>
    <row r="137" spans="1:9">
      <c r="A137" s="39" t="s">
        <v>445</v>
      </c>
      <c r="B137" s="39" t="s">
        <v>2274</v>
      </c>
      <c r="C137" s="39" t="s">
        <v>156</v>
      </c>
      <c r="D137" s="39" t="s">
        <v>162</v>
      </c>
      <c r="E137" s="39" t="s">
        <v>100</v>
      </c>
      <c r="F137" s="33">
        <v>0</v>
      </c>
      <c r="G137" s="15">
        <f t="shared" si="2"/>
        <v>0</v>
      </c>
      <c r="H137" s="15"/>
    </row>
    <row r="138" spans="1:9">
      <c r="A138" s="39" t="s">
        <v>447</v>
      </c>
      <c r="B138" s="39" t="s">
        <v>448</v>
      </c>
      <c r="C138" s="39" t="s">
        <v>156</v>
      </c>
      <c r="D138" s="39" t="s">
        <v>162</v>
      </c>
      <c r="E138" s="39" t="s">
        <v>100</v>
      </c>
      <c r="F138" s="33">
        <v>795818.74</v>
      </c>
      <c r="G138" s="15">
        <f t="shared" si="2"/>
        <v>795819</v>
      </c>
      <c r="H138" s="15">
        <v>9480</v>
      </c>
      <c r="I138" t="s">
        <v>2300</v>
      </c>
    </row>
    <row r="139" spans="1:9">
      <c r="A139" s="39" t="s">
        <v>449</v>
      </c>
      <c r="B139" s="39" t="s">
        <v>231</v>
      </c>
      <c r="C139" s="39" t="s">
        <v>156</v>
      </c>
      <c r="D139" s="39" t="s">
        <v>162</v>
      </c>
      <c r="E139" s="39" t="s">
        <v>100</v>
      </c>
      <c r="F139" s="33">
        <v>0</v>
      </c>
      <c r="G139" s="15">
        <f t="shared" si="2"/>
        <v>0</v>
      </c>
      <c r="H139" s="15"/>
    </row>
    <row r="140" spans="1:9">
      <c r="A140" s="39" t="s">
        <v>451</v>
      </c>
      <c r="B140" s="39" t="s">
        <v>2161</v>
      </c>
      <c r="C140" s="39" t="s">
        <v>156</v>
      </c>
      <c r="D140" s="39" t="s">
        <v>162</v>
      </c>
      <c r="E140" s="39" t="s">
        <v>100</v>
      </c>
      <c r="F140" s="33">
        <v>295943.17</v>
      </c>
      <c r="G140" s="15">
        <f t="shared" si="2"/>
        <v>295943</v>
      </c>
      <c r="H140" s="15"/>
    </row>
    <row r="141" spans="1:9">
      <c r="A141" s="39" t="s">
        <v>453</v>
      </c>
      <c r="B141" s="39" t="s">
        <v>2235</v>
      </c>
      <c r="C141" s="39" t="s">
        <v>156</v>
      </c>
      <c r="D141" s="39" t="s">
        <v>162</v>
      </c>
      <c r="E141" s="39" t="s">
        <v>100</v>
      </c>
      <c r="F141" s="33">
        <v>0</v>
      </c>
      <c r="G141" s="15">
        <f t="shared" si="2"/>
        <v>0</v>
      </c>
      <c r="H141" s="15"/>
    </row>
    <row r="142" spans="1:9">
      <c r="A142" s="39" t="s">
        <v>455</v>
      </c>
      <c r="B142" s="39" t="s">
        <v>456</v>
      </c>
      <c r="C142" s="39" t="s">
        <v>156</v>
      </c>
      <c r="D142" s="39" t="s">
        <v>162</v>
      </c>
      <c r="E142" s="39" t="s">
        <v>100</v>
      </c>
      <c r="F142" s="33">
        <v>273.05</v>
      </c>
      <c r="G142" s="15">
        <f t="shared" si="2"/>
        <v>273</v>
      </c>
      <c r="H142" s="15"/>
    </row>
    <row r="143" spans="1:9">
      <c r="A143" s="39" t="s">
        <v>457</v>
      </c>
      <c r="B143" s="39" t="s">
        <v>458</v>
      </c>
      <c r="C143" s="39" t="s">
        <v>156</v>
      </c>
      <c r="D143" s="39" t="s">
        <v>162</v>
      </c>
      <c r="E143" s="39" t="s">
        <v>100</v>
      </c>
      <c r="F143" s="33">
        <v>46764.79</v>
      </c>
      <c r="G143" s="15">
        <f t="shared" si="2"/>
        <v>46765</v>
      </c>
      <c r="H143" s="15"/>
    </row>
    <row r="144" spans="1:9">
      <c r="A144" s="39" t="s">
        <v>459</v>
      </c>
      <c r="B144" s="39" t="s">
        <v>460</v>
      </c>
      <c r="C144" s="39" t="s">
        <v>156</v>
      </c>
      <c r="D144" s="39" t="s">
        <v>162</v>
      </c>
      <c r="E144" s="39" t="s">
        <v>100</v>
      </c>
      <c r="F144" s="33">
        <v>74746.66</v>
      </c>
      <c r="G144" s="15">
        <f t="shared" si="2"/>
        <v>74747</v>
      </c>
      <c r="H144" s="15"/>
    </row>
    <row r="145" spans="1:17">
      <c r="A145" s="39" t="s">
        <v>461</v>
      </c>
      <c r="B145" s="39" t="s">
        <v>462</v>
      </c>
      <c r="C145" s="39" t="s">
        <v>156</v>
      </c>
      <c r="D145" s="39" t="s">
        <v>169</v>
      </c>
      <c r="E145" s="39" t="s">
        <v>463</v>
      </c>
      <c r="F145" s="33">
        <v>1187675.6499999999</v>
      </c>
      <c r="G145" s="15">
        <f t="shared" si="2"/>
        <v>1187676</v>
      </c>
      <c r="H145" s="15"/>
    </row>
    <row r="146" spans="1:17">
      <c r="A146" s="39" t="s">
        <v>464</v>
      </c>
      <c r="B146" s="39" t="s">
        <v>2236</v>
      </c>
      <c r="C146" s="39" t="s">
        <v>156</v>
      </c>
      <c r="D146" s="39" t="s">
        <v>157</v>
      </c>
      <c r="E146" s="39" t="s">
        <v>100</v>
      </c>
      <c r="F146" s="33">
        <v>0</v>
      </c>
      <c r="G146" s="15">
        <f t="shared" si="2"/>
        <v>0</v>
      </c>
      <c r="H146" s="15"/>
    </row>
    <row r="147" spans="1:17">
      <c r="A147" s="39" t="s">
        <v>466</v>
      </c>
      <c r="B147" s="39" t="s">
        <v>2237</v>
      </c>
      <c r="C147" s="39" t="s">
        <v>156</v>
      </c>
      <c r="D147" s="39" t="s">
        <v>157</v>
      </c>
      <c r="E147" s="39" t="s">
        <v>100</v>
      </c>
      <c r="F147" s="33">
        <v>0</v>
      </c>
      <c r="G147" s="15">
        <f t="shared" si="2"/>
        <v>0</v>
      </c>
      <c r="H147" s="15"/>
    </row>
    <row r="148" spans="1:17">
      <c r="A148" s="39" t="s">
        <v>2238</v>
      </c>
      <c r="B148" s="39" t="s">
        <v>600</v>
      </c>
      <c r="C148" s="39" t="s">
        <v>156</v>
      </c>
      <c r="D148" s="39" t="s">
        <v>157</v>
      </c>
      <c r="E148" s="39" t="s">
        <v>100</v>
      </c>
      <c r="F148" s="33">
        <v>0</v>
      </c>
      <c r="G148" s="15">
        <f t="shared" si="2"/>
        <v>0</v>
      </c>
      <c r="H148" s="15"/>
    </row>
    <row r="149" spans="1:17">
      <c r="A149" s="39" t="s">
        <v>2239</v>
      </c>
      <c r="B149" s="39" t="s">
        <v>602</v>
      </c>
      <c r="C149" s="39" t="s">
        <v>156</v>
      </c>
      <c r="D149" s="39" t="s">
        <v>162</v>
      </c>
      <c r="E149" s="39" t="s">
        <v>100</v>
      </c>
      <c r="F149" s="33">
        <v>0</v>
      </c>
      <c r="G149" s="15">
        <f t="shared" si="2"/>
        <v>0</v>
      </c>
      <c r="H149" s="15"/>
    </row>
    <row r="150" spans="1:17">
      <c r="A150" s="39" t="s">
        <v>2240</v>
      </c>
      <c r="B150" s="39" t="s">
        <v>604</v>
      </c>
      <c r="C150" s="39" t="s">
        <v>156</v>
      </c>
      <c r="D150" s="39" t="s">
        <v>162</v>
      </c>
      <c r="E150" s="39" t="s">
        <v>100</v>
      </c>
      <c r="F150" s="33">
        <v>17861.34</v>
      </c>
      <c r="G150" s="15">
        <f t="shared" si="2"/>
        <v>17861</v>
      </c>
      <c r="H150" s="15"/>
    </row>
    <row r="151" spans="1:17">
      <c r="A151" s="39" t="s">
        <v>2241</v>
      </c>
      <c r="B151" s="39" t="s">
        <v>606</v>
      </c>
      <c r="C151" s="39" t="s">
        <v>156</v>
      </c>
      <c r="D151" s="39" t="s">
        <v>162</v>
      </c>
      <c r="E151" s="39" t="s">
        <v>100</v>
      </c>
      <c r="F151" s="33">
        <v>0</v>
      </c>
      <c r="G151" s="15">
        <f t="shared" si="2"/>
        <v>0</v>
      </c>
      <c r="H151" s="15"/>
    </row>
    <row r="152" spans="1:17">
      <c r="A152" s="39" t="s">
        <v>2242</v>
      </c>
      <c r="B152" s="39" t="s">
        <v>608</v>
      </c>
      <c r="C152" s="39" t="s">
        <v>156</v>
      </c>
      <c r="D152" s="39" t="s">
        <v>162</v>
      </c>
      <c r="E152" s="39" t="s">
        <v>100</v>
      </c>
      <c r="F152" s="33">
        <v>128739.14</v>
      </c>
      <c r="G152" s="15">
        <f t="shared" si="2"/>
        <v>128739</v>
      </c>
      <c r="H152" s="15"/>
    </row>
    <row r="153" spans="1:17">
      <c r="A153" s="39" t="s">
        <v>2243</v>
      </c>
      <c r="B153" s="39" t="s">
        <v>610</v>
      </c>
      <c r="C153" s="39" t="s">
        <v>156</v>
      </c>
      <c r="D153" s="39" t="s">
        <v>162</v>
      </c>
      <c r="E153" s="39" t="s">
        <v>100</v>
      </c>
      <c r="F153" s="33">
        <v>8718.02</v>
      </c>
      <c r="G153" s="15">
        <f t="shared" si="2"/>
        <v>8718</v>
      </c>
      <c r="H153" s="15"/>
    </row>
    <row r="154" spans="1:17">
      <c r="A154" s="39" t="s">
        <v>2244</v>
      </c>
      <c r="B154" s="39" t="s">
        <v>612</v>
      </c>
      <c r="C154" s="39" t="s">
        <v>156</v>
      </c>
      <c r="D154" s="39" t="s">
        <v>162</v>
      </c>
      <c r="E154" s="39" t="s">
        <v>100</v>
      </c>
      <c r="F154" s="33">
        <v>0</v>
      </c>
      <c r="G154" s="15">
        <f t="shared" si="2"/>
        <v>0</v>
      </c>
      <c r="H154" s="15"/>
    </row>
    <row r="155" spans="1:17">
      <c r="A155" s="39" t="s">
        <v>2245</v>
      </c>
      <c r="B155" s="39" t="s">
        <v>614</v>
      </c>
      <c r="C155" s="39" t="s">
        <v>156</v>
      </c>
      <c r="D155" s="39" t="s">
        <v>162</v>
      </c>
      <c r="E155" s="39" t="s">
        <v>100</v>
      </c>
      <c r="F155" s="33">
        <v>0</v>
      </c>
      <c r="G155" s="15">
        <f t="shared" si="2"/>
        <v>0</v>
      </c>
      <c r="H155" s="15"/>
    </row>
    <row r="156" spans="1:17">
      <c r="A156" s="39" t="s">
        <v>2246</v>
      </c>
      <c r="B156" s="39" t="s">
        <v>616</v>
      </c>
      <c r="C156" s="39" t="s">
        <v>156</v>
      </c>
      <c r="D156" s="39" t="s">
        <v>162</v>
      </c>
      <c r="E156" s="39" t="s">
        <v>100</v>
      </c>
      <c r="F156" s="33">
        <v>-61100.59</v>
      </c>
      <c r="G156" s="15">
        <f t="shared" si="2"/>
        <v>-61101</v>
      </c>
      <c r="H156" s="15"/>
    </row>
    <row r="157" spans="1:17" ht="16">
      <c r="A157" s="39" t="s">
        <v>2247</v>
      </c>
      <c r="B157" s="39" t="s">
        <v>618</v>
      </c>
      <c r="C157" s="39" t="s">
        <v>156</v>
      </c>
      <c r="D157" s="39" t="s">
        <v>169</v>
      </c>
      <c r="E157" s="39" t="s">
        <v>2248</v>
      </c>
      <c r="F157" s="33">
        <v>94217.91</v>
      </c>
      <c r="G157" s="15">
        <f t="shared" si="2"/>
        <v>94218</v>
      </c>
      <c r="H157" s="15"/>
      <c r="L157" s="44" t="s">
        <v>429</v>
      </c>
      <c r="M157" s="43"/>
      <c r="N157" s="43"/>
      <c r="O157" s="43"/>
      <c r="P157" s="43"/>
      <c r="Q157" s="43"/>
    </row>
    <row r="158" spans="1:17">
      <c r="A158" s="39" t="s">
        <v>468</v>
      </c>
      <c r="B158" s="39" t="s">
        <v>469</v>
      </c>
      <c r="C158" s="39" t="s">
        <v>156</v>
      </c>
      <c r="D158" s="39" t="s">
        <v>157</v>
      </c>
      <c r="E158" s="39" t="s">
        <v>100</v>
      </c>
      <c r="F158" s="33">
        <v>0</v>
      </c>
      <c r="G158" s="15">
        <f t="shared" si="2"/>
        <v>0</v>
      </c>
      <c r="H158" s="15"/>
      <c r="L158" s="45" t="s">
        <v>432</v>
      </c>
      <c r="M158" s="45" t="s">
        <v>148</v>
      </c>
      <c r="N158" s="45" t="s">
        <v>433</v>
      </c>
      <c r="O158" s="45" t="s">
        <v>475</v>
      </c>
      <c r="P158" s="45" t="s">
        <v>476</v>
      </c>
      <c r="Q158" s="45" t="s">
        <v>477</v>
      </c>
    </row>
    <row r="159" spans="1:17">
      <c r="A159" s="39" t="s">
        <v>470</v>
      </c>
      <c r="B159" s="39" t="s">
        <v>155</v>
      </c>
      <c r="C159" s="39" t="s">
        <v>156</v>
      </c>
      <c r="D159" s="39" t="s">
        <v>157</v>
      </c>
      <c r="E159" s="39" t="s">
        <v>100</v>
      </c>
      <c r="F159" s="33">
        <v>0</v>
      </c>
      <c r="G159" s="15">
        <f t="shared" si="2"/>
        <v>0</v>
      </c>
      <c r="H159" s="15"/>
      <c r="L159" s="46" t="s">
        <v>468</v>
      </c>
      <c r="M159" s="46" t="s">
        <v>469</v>
      </c>
      <c r="N159" s="47">
        <v>0</v>
      </c>
      <c r="O159" s="47">
        <v>0</v>
      </c>
      <c r="P159" s="47">
        <v>0</v>
      </c>
      <c r="Q159" s="47">
        <v>0</v>
      </c>
    </row>
    <row r="160" spans="1:17">
      <c r="A160" s="39" t="s">
        <v>471</v>
      </c>
      <c r="B160" s="39" t="s">
        <v>472</v>
      </c>
      <c r="C160" s="39" t="s">
        <v>156</v>
      </c>
      <c r="D160" s="39" t="s">
        <v>162</v>
      </c>
      <c r="E160" s="39" t="s">
        <v>100</v>
      </c>
      <c r="F160" s="33">
        <v>-3176317.28</v>
      </c>
      <c r="G160" s="15">
        <f t="shared" si="2"/>
        <v>-3176317</v>
      </c>
      <c r="H160" s="15"/>
      <c r="L160" s="46" t="s">
        <v>470</v>
      </c>
      <c r="M160" s="46" t="s">
        <v>155</v>
      </c>
      <c r="N160" s="47">
        <v>0</v>
      </c>
      <c r="O160" s="47">
        <v>0</v>
      </c>
      <c r="P160" s="47">
        <v>0</v>
      </c>
      <c r="Q160" s="47">
        <v>0</v>
      </c>
    </row>
    <row r="161" spans="1:17">
      <c r="A161" s="39" t="s">
        <v>473</v>
      </c>
      <c r="B161" s="39" t="s">
        <v>474</v>
      </c>
      <c r="C161" s="39" t="s">
        <v>156</v>
      </c>
      <c r="D161" s="39" t="s">
        <v>162</v>
      </c>
      <c r="E161" s="39" t="s">
        <v>100</v>
      </c>
      <c r="F161" s="33">
        <v>-1596564.54</v>
      </c>
      <c r="G161" s="15">
        <f t="shared" si="2"/>
        <v>-1596565</v>
      </c>
      <c r="H161" s="15"/>
      <c r="L161" s="46" t="s">
        <v>471</v>
      </c>
      <c r="M161" s="46" t="s">
        <v>472</v>
      </c>
      <c r="N161" s="47">
        <v>-3176317.28</v>
      </c>
      <c r="O161" s="47">
        <v>-588960.25</v>
      </c>
      <c r="P161" s="47">
        <v>-2261303.0499999998</v>
      </c>
      <c r="Q161" s="47">
        <v>-326053.98</v>
      </c>
    </row>
    <row r="162" spans="1:17">
      <c r="A162" s="39" t="s">
        <v>478</v>
      </c>
      <c r="B162" s="39" t="s">
        <v>479</v>
      </c>
      <c r="C162" s="39" t="s">
        <v>156</v>
      </c>
      <c r="D162" s="39" t="s">
        <v>162</v>
      </c>
      <c r="E162" s="39" t="s">
        <v>100</v>
      </c>
      <c r="F162" s="33">
        <v>95749.45</v>
      </c>
      <c r="G162" s="15">
        <f t="shared" si="2"/>
        <v>95749</v>
      </c>
      <c r="H162" s="15"/>
      <c r="L162" s="46" t="s">
        <v>473</v>
      </c>
      <c r="M162" s="46" t="s">
        <v>474</v>
      </c>
      <c r="N162" s="47">
        <v>-1596564.54</v>
      </c>
      <c r="O162" s="47">
        <v>-248194</v>
      </c>
      <c r="P162" s="47">
        <v>-1151570.54</v>
      </c>
      <c r="Q162" s="47">
        <v>-196800</v>
      </c>
    </row>
    <row r="163" spans="1:17">
      <c r="A163" s="39" t="s">
        <v>480</v>
      </c>
      <c r="B163" s="39" t="s">
        <v>481</v>
      </c>
      <c r="C163" s="39" t="s">
        <v>156</v>
      </c>
      <c r="D163" s="39" t="s">
        <v>162</v>
      </c>
      <c r="E163" s="39" t="s">
        <v>100</v>
      </c>
      <c r="F163" s="33">
        <v>-677219.67</v>
      </c>
      <c r="G163" s="15">
        <f t="shared" si="2"/>
        <v>-677220</v>
      </c>
      <c r="H163" s="15"/>
      <c r="L163" s="46" t="s">
        <v>478</v>
      </c>
      <c r="M163" s="46" t="s">
        <v>479</v>
      </c>
      <c r="N163" s="47">
        <v>95749.45</v>
      </c>
      <c r="O163" s="47">
        <v>44933.02</v>
      </c>
      <c r="P163" s="47">
        <v>50816.43</v>
      </c>
      <c r="Q163" s="47">
        <v>0</v>
      </c>
    </row>
    <row r="164" spans="1:17">
      <c r="A164" s="39" t="s">
        <v>482</v>
      </c>
      <c r="B164" s="39" t="s">
        <v>278</v>
      </c>
      <c r="C164" s="39" t="s">
        <v>156</v>
      </c>
      <c r="D164" s="39" t="s">
        <v>169</v>
      </c>
      <c r="E164" s="39" t="s">
        <v>483</v>
      </c>
      <c r="F164" s="33">
        <v>-5354352.04</v>
      </c>
      <c r="G164" s="15">
        <f t="shared" si="2"/>
        <v>-5354352</v>
      </c>
      <c r="H164" s="15"/>
      <c r="L164" s="46" t="s">
        <v>480</v>
      </c>
      <c r="M164" s="46" t="s">
        <v>481</v>
      </c>
      <c r="N164" s="47">
        <v>-677219.67</v>
      </c>
      <c r="O164" s="47">
        <v>-74590</v>
      </c>
      <c r="P164" s="47">
        <v>-494725.67</v>
      </c>
      <c r="Q164" s="47">
        <v>-107904</v>
      </c>
    </row>
    <row r="165" spans="1:17">
      <c r="A165" s="39" t="s">
        <v>484</v>
      </c>
      <c r="B165" s="39" t="s">
        <v>485</v>
      </c>
      <c r="C165" s="39" t="s">
        <v>156</v>
      </c>
      <c r="D165" s="39" t="s">
        <v>157</v>
      </c>
      <c r="E165" s="39" t="s">
        <v>100</v>
      </c>
      <c r="F165" s="33">
        <v>0</v>
      </c>
      <c r="G165" s="15">
        <f t="shared" si="2"/>
        <v>0</v>
      </c>
      <c r="H165" s="15"/>
      <c r="L165" s="46" t="s">
        <v>482</v>
      </c>
      <c r="M165" s="46" t="s">
        <v>278</v>
      </c>
      <c r="N165" s="47">
        <v>-5354352.04</v>
      </c>
      <c r="O165" s="47">
        <v>-866811.23</v>
      </c>
      <c r="P165" s="47">
        <v>-3856782.83</v>
      </c>
      <c r="Q165" s="47">
        <v>-630757.98</v>
      </c>
    </row>
    <row r="166" spans="1:17">
      <c r="A166" s="39" t="s">
        <v>486</v>
      </c>
      <c r="B166" s="39" t="s">
        <v>487</v>
      </c>
      <c r="C166" s="39" t="s">
        <v>156</v>
      </c>
      <c r="D166" s="39" t="s">
        <v>162</v>
      </c>
      <c r="E166" s="39" t="s">
        <v>100</v>
      </c>
      <c r="F166" s="33">
        <v>302027.40000000002</v>
      </c>
      <c r="G166" s="15">
        <f t="shared" si="2"/>
        <v>302027</v>
      </c>
      <c r="H166" s="15"/>
      <c r="L166" s="46" t="s">
        <v>484</v>
      </c>
      <c r="M166" s="46" t="s">
        <v>485</v>
      </c>
      <c r="N166" s="47">
        <v>0</v>
      </c>
      <c r="O166" s="47">
        <v>0</v>
      </c>
      <c r="P166" s="47">
        <v>0</v>
      </c>
      <c r="Q166" s="47">
        <v>0</v>
      </c>
    </row>
    <row r="167" spans="1:17">
      <c r="A167" s="39" t="s">
        <v>488</v>
      </c>
      <c r="B167" s="39" t="s">
        <v>489</v>
      </c>
      <c r="C167" s="39" t="s">
        <v>156</v>
      </c>
      <c r="D167" s="39" t="s">
        <v>162</v>
      </c>
      <c r="E167" s="39" t="s">
        <v>100</v>
      </c>
      <c r="F167" s="33">
        <v>288805.65999999997</v>
      </c>
      <c r="G167" s="15">
        <f t="shared" si="2"/>
        <v>288806</v>
      </c>
      <c r="H167" s="15"/>
      <c r="L167" s="46" t="s">
        <v>486</v>
      </c>
      <c r="M167" s="46" t="s">
        <v>487</v>
      </c>
      <c r="N167" s="47">
        <v>302027.40000000002</v>
      </c>
      <c r="O167" s="42">
        <v>124802.03</v>
      </c>
      <c r="P167" s="42">
        <v>177225.37</v>
      </c>
      <c r="Q167" s="42">
        <v>0</v>
      </c>
    </row>
    <row r="168" spans="1:17">
      <c r="A168" s="39" t="s">
        <v>490</v>
      </c>
      <c r="B168" s="39" t="s">
        <v>2218</v>
      </c>
      <c r="C168" s="39" t="s">
        <v>156</v>
      </c>
      <c r="D168" s="39" t="s">
        <v>162</v>
      </c>
      <c r="E168" s="39" t="s">
        <v>100</v>
      </c>
      <c r="F168" s="33">
        <v>8467.08</v>
      </c>
      <c r="G168" s="15">
        <f t="shared" si="2"/>
        <v>8467</v>
      </c>
      <c r="H168" s="15"/>
      <c r="L168" s="46" t="s">
        <v>488</v>
      </c>
      <c r="M168" s="46" t="s">
        <v>489</v>
      </c>
      <c r="N168" s="47">
        <v>288805.65999999997</v>
      </c>
      <c r="O168" s="42">
        <v>217488.46</v>
      </c>
      <c r="P168" s="42">
        <v>34053.11</v>
      </c>
      <c r="Q168" s="42">
        <v>37264.089999999997</v>
      </c>
    </row>
    <row r="169" spans="1:17">
      <c r="A169" s="39" t="s">
        <v>492</v>
      </c>
      <c r="B169" s="39" t="s">
        <v>493</v>
      </c>
      <c r="C169" s="39" t="s">
        <v>156</v>
      </c>
      <c r="D169" s="39" t="s">
        <v>162</v>
      </c>
      <c r="E169" s="39" t="s">
        <v>100</v>
      </c>
      <c r="F169" s="33">
        <v>26093.81</v>
      </c>
      <c r="G169" s="15">
        <f t="shared" si="2"/>
        <v>26094</v>
      </c>
      <c r="H169" s="15"/>
      <c r="L169" s="46" t="s">
        <v>490</v>
      </c>
      <c r="M169" s="46" t="s">
        <v>2218</v>
      </c>
      <c r="N169" s="47">
        <v>8467.08</v>
      </c>
      <c r="O169" s="42">
        <v>0</v>
      </c>
      <c r="P169" s="42">
        <v>8467.08</v>
      </c>
      <c r="Q169" s="42">
        <v>0</v>
      </c>
    </row>
    <row r="170" spans="1:17">
      <c r="A170" s="39" t="s">
        <v>494</v>
      </c>
      <c r="B170" s="39" t="s">
        <v>495</v>
      </c>
      <c r="C170" s="39" t="s">
        <v>156</v>
      </c>
      <c r="D170" s="39" t="s">
        <v>162</v>
      </c>
      <c r="E170" s="39" t="s">
        <v>100</v>
      </c>
      <c r="F170" s="33">
        <v>139815.63</v>
      </c>
      <c r="G170" s="15">
        <f t="shared" si="2"/>
        <v>139816</v>
      </c>
      <c r="H170" s="15"/>
      <c r="L170" s="46" t="s">
        <v>492</v>
      </c>
      <c r="M170" s="46" t="s">
        <v>493</v>
      </c>
      <c r="N170" s="47">
        <v>26093.81</v>
      </c>
      <c r="O170" s="42">
        <v>18710.55</v>
      </c>
      <c r="P170" s="42">
        <v>0</v>
      </c>
      <c r="Q170" s="42">
        <v>7383.26</v>
      </c>
    </row>
    <row r="171" spans="1:17">
      <c r="A171" s="39" t="s">
        <v>496</v>
      </c>
      <c r="B171" s="39" t="s">
        <v>497</v>
      </c>
      <c r="C171" s="39" t="s">
        <v>156</v>
      </c>
      <c r="D171" s="39" t="s">
        <v>162</v>
      </c>
      <c r="E171" s="39" t="s">
        <v>100</v>
      </c>
      <c r="F171" s="33">
        <v>1444615.37</v>
      </c>
      <c r="G171" s="15">
        <f t="shared" si="2"/>
        <v>1444615</v>
      </c>
      <c r="H171" s="15">
        <v>-18620.45</v>
      </c>
      <c r="I171" t="s">
        <v>2146</v>
      </c>
      <c r="L171" s="46" t="s">
        <v>494</v>
      </c>
      <c r="M171" s="46" t="s">
        <v>495</v>
      </c>
      <c r="N171" s="47">
        <v>139815.63</v>
      </c>
      <c r="O171" s="42">
        <v>27608.880000000001</v>
      </c>
      <c r="P171" s="42">
        <v>101443.59</v>
      </c>
      <c r="Q171" s="42">
        <v>10763.16</v>
      </c>
    </row>
    <row r="172" spans="1:17">
      <c r="A172" s="39" t="s">
        <v>498</v>
      </c>
      <c r="B172" s="39" t="s">
        <v>499</v>
      </c>
      <c r="C172" s="39" t="s">
        <v>156</v>
      </c>
      <c r="D172" s="39" t="s">
        <v>162</v>
      </c>
      <c r="E172" s="39" t="s">
        <v>100</v>
      </c>
      <c r="F172" s="33">
        <v>-11893.6</v>
      </c>
      <c r="G172" s="15">
        <f t="shared" si="2"/>
        <v>-11894</v>
      </c>
      <c r="H172" s="15"/>
      <c r="L172" s="46" t="s">
        <v>496</v>
      </c>
      <c r="M172" s="46" t="s">
        <v>497</v>
      </c>
      <c r="N172" s="47">
        <v>1444615.37</v>
      </c>
      <c r="O172" s="42">
        <v>478756.81</v>
      </c>
      <c r="P172" s="42">
        <v>799763.57</v>
      </c>
      <c r="Q172" s="42">
        <v>166094.99</v>
      </c>
    </row>
    <row r="173" spans="1:17">
      <c r="A173" s="39" t="s">
        <v>500</v>
      </c>
      <c r="B173" s="39" t="s">
        <v>501</v>
      </c>
      <c r="C173" s="39" t="s">
        <v>156</v>
      </c>
      <c r="D173" s="39" t="s">
        <v>162</v>
      </c>
      <c r="E173" s="39" t="s">
        <v>100</v>
      </c>
      <c r="F173" s="33">
        <v>65157.7</v>
      </c>
      <c r="G173" s="15">
        <f t="shared" si="2"/>
        <v>65158</v>
      </c>
      <c r="H173" s="15"/>
      <c r="L173" s="46" t="s">
        <v>498</v>
      </c>
      <c r="M173" s="46" t="s">
        <v>499</v>
      </c>
      <c r="N173" s="47">
        <v>-11893.6</v>
      </c>
      <c r="O173" s="47">
        <v>0</v>
      </c>
      <c r="P173" s="42">
        <v>-10769.2</v>
      </c>
      <c r="Q173" s="42">
        <v>-1124.4000000000001</v>
      </c>
    </row>
    <row r="174" spans="1:17">
      <c r="A174" s="39" t="s">
        <v>502</v>
      </c>
      <c r="B174" s="39" t="s">
        <v>503</v>
      </c>
      <c r="C174" s="39" t="s">
        <v>156</v>
      </c>
      <c r="D174" s="39" t="s">
        <v>169</v>
      </c>
      <c r="E174" s="39" t="s">
        <v>504</v>
      </c>
      <c r="F174" s="33">
        <v>2263089.0499999998</v>
      </c>
      <c r="G174" s="15">
        <f t="shared" si="2"/>
        <v>2263089</v>
      </c>
      <c r="H174" s="15"/>
      <c r="L174" s="46" t="s">
        <v>500</v>
      </c>
      <c r="M174" s="46" t="s">
        <v>501</v>
      </c>
      <c r="N174" s="47">
        <v>65157.7</v>
      </c>
      <c r="O174" s="47">
        <v>0</v>
      </c>
      <c r="P174" s="42">
        <v>65157.7</v>
      </c>
      <c r="Q174" s="47">
        <v>0</v>
      </c>
    </row>
    <row r="175" spans="1:17">
      <c r="A175" s="39" t="s">
        <v>505</v>
      </c>
      <c r="B175" s="39" t="s">
        <v>284</v>
      </c>
      <c r="C175" s="39" t="s">
        <v>156</v>
      </c>
      <c r="D175" s="39" t="s">
        <v>157</v>
      </c>
      <c r="E175" s="39" t="s">
        <v>100</v>
      </c>
      <c r="F175" s="33">
        <v>0</v>
      </c>
      <c r="G175" s="15">
        <f t="shared" si="2"/>
        <v>0</v>
      </c>
      <c r="H175" s="15"/>
      <c r="L175" s="46" t="s">
        <v>502</v>
      </c>
      <c r="M175" s="46" t="s">
        <v>503</v>
      </c>
      <c r="N175" s="47">
        <v>2263089.0499999998</v>
      </c>
      <c r="O175" s="47">
        <v>867366.73</v>
      </c>
      <c r="P175" s="47">
        <v>1175341.22</v>
      </c>
      <c r="Q175" s="47">
        <v>220381.1</v>
      </c>
    </row>
    <row r="176" spans="1:17">
      <c r="A176" s="39" t="s">
        <v>506</v>
      </c>
      <c r="B176" s="39" t="s">
        <v>507</v>
      </c>
      <c r="C176" s="39" t="s">
        <v>156</v>
      </c>
      <c r="D176" s="39" t="s">
        <v>162</v>
      </c>
      <c r="E176" s="39" t="s">
        <v>100</v>
      </c>
      <c r="F176" s="33">
        <v>1988534.93</v>
      </c>
      <c r="G176" s="15">
        <f t="shared" si="2"/>
        <v>1988535</v>
      </c>
      <c r="H176" s="15"/>
      <c r="L176" s="46" t="s">
        <v>505</v>
      </c>
      <c r="M176" s="46" t="s">
        <v>284</v>
      </c>
      <c r="N176" s="47">
        <v>0</v>
      </c>
      <c r="O176" s="47">
        <v>0</v>
      </c>
      <c r="P176" s="47">
        <v>0</v>
      </c>
      <c r="Q176" s="47">
        <v>0</v>
      </c>
    </row>
    <row r="177" spans="1:17">
      <c r="A177" s="39" t="s">
        <v>508</v>
      </c>
      <c r="B177" s="39" t="s">
        <v>317</v>
      </c>
      <c r="C177" s="39" t="s">
        <v>156</v>
      </c>
      <c r="D177" s="39" t="s">
        <v>162</v>
      </c>
      <c r="E177" s="39" t="s">
        <v>100</v>
      </c>
      <c r="F177" s="33">
        <v>72421.47</v>
      </c>
      <c r="G177" s="15">
        <f t="shared" si="2"/>
        <v>72421</v>
      </c>
      <c r="H177" s="15"/>
      <c r="L177" s="46" t="s">
        <v>506</v>
      </c>
      <c r="M177" s="46" t="s">
        <v>507</v>
      </c>
      <c r="N177" s="47">
        <v>1988534.93</v>
      </c>
      <c r="O177" s="42">
        <v>319951.82</v>
      </c>
      <c r="P177" s="42">
        <v>1502291.36</v>
      </c>
      <c r="Q177" s="42">
        <v>166291.75</v>
      </c>
    </row>
    <row r="178" spans="1:17">
      <c r="A178" s="39" t="s">
        <v>509</v>
      </c>
      <c r="B178" s="39" t="s">
        <v>294</v>
      </c>
      <c r="C178" s="39" t="s">
        <v>156</v>
      </c>
      <c r="D178" s="39" t="s">
        <v>162</v>
      </c>
      <c r="E178" s="39" t="s">
        <v>100</v>
      </c>
      <c r="F178" s="33">
        <v>-75060.98</v>
      </c>
      <c r="G178" s="15">
        <f t="shared" si="2"/>
        <v>-75061</v>
      </c>
      <c r="H178" s="15"/>
      <c r="L178" s="46" t="s">
        <v>508</v>
      </c>
      <c r="M178" s="46" t="s">
        <v>317</v>
      </c>
      <c r="N178" s="47">
        <v>72421.47</v>
      </c>
      <c r="O178" s="42">
        <v>11282.37</v>
      </c>
      <c r="P178" s="42">
        <v>61139.1</v>
      </c>
      <c r="Q178" s="42">
        <v>0</v>
      </c>
    </row>
    <row r="179" spans="1:17">
      <c r="A179" s="39" t="s">
        <v>510</v>
      </c>
      <c r="B179" s="39" t="s">
        <v>511</v>
      </c>
      <c r="C179" s="39" t="s">
        <v>156</v>
      </c>
      <c r="D179" s="39" t="s">
        <v>162</v>
      </c>
      <c r="E179" s="39" t="s">
        <v>100</v>
      </c>
      <c r="F179" s="33">
        <v>86339.42</v>
      </c>
      <c r="G179" s="15">
        <f t="shared" si="2"/>
        <v>86339</v>
      </c>
      <c r="H179" s="15"/>
      <c r="L179" s="46" t="s">
        <v>509</v>
      </c>
      <c r="M179" s="46" t="s">
        <v>294</v>
      </c>
      <c r="N179" s="47">
        <v>-75060.98</v>
      </c>
      <c r="O179" s="42">
        <v>0</v>
      </c>
      <c r="P179" s="42">
        <v>-75060.98</v>
      </c>
      <c r="Q179" s="42">
        <v>0</v>
      </c>
    </row>
    <row r="180" spans="1:17">
      <c r="A180" s="39" t="s">
        <v>512</v>
      </c>
      <c r="B180" s="39" t="s">
        <v>513</v>
      </c>
      <c r="C180" s="39" t="s">
        <v>156</v>
      </c>
      <c r="D180" s="39" t="s">
        <v>162</v>
      </c>
      <c r="E180" s="39" t="s">
        <v>100</v>
      </c>
      <c r="F180" s="33">
        <v>195280.94</v>
      </c>
      <c r="G180" s="15">
        <f t="shared" si="2"/>
        <v>195281</v>
      </c>
      <c r="H180" s="15"/>
      <c r="L180" s="46" t="s">
        <v>510</v>
      </c>
      <c r="M180" s="46" t="s">
        <v>511</v>
      </c>
      <c r="N180" s="47">
        <v>86339.42</v>
      </c>
      <c r="O180" s="42">
        <v>10547.22</v>
      </c>
      <c r="P180" s="42">
        <v>72973.55</v>
      </c>
      <c r="Q180" s="42">
        <v>2818.65</v>
      </c>
    </row>
    <row r="181" spans="1:17">
      <c r="A181" s="39" t="s">
        <v>514</v>
      </c>
      <c r="B181" s="39" t="s">
        <v>515</v>
      </c>
      <c r="C181" s="39" t="s">
        <v>156</v>
      </c>
      <c r="D181" s="39" t="s">
        <v>162</v>
      </c>
      <c r="E181" s="39" t="s">
        <v>100</v>
      </c>
      <c r="F181" s="33">
        <v>-62942.68</v>
      </c>
      <c r="G181" s="15">
        <f t="shared" si="2"/>
        <v>-62943</v>
      </c>
      <c r="H181" s="15"/>
      <c r="L181" s="46" t="s">
        <v>512</v>
      </c>
      <c r="M181" s="46" t="s">
        <v>513</v>
      </c>
      <c r="N181" s="47">
        <v>195280.94</v>
      </c>
      <c r="O181" s="42">
        <v>31641.77</v>
      </c>
      <c r="P181" s="42">
        <v>158001.87</v>
      </c>
      <c r="Q181" s="42">
        <v>5637.3</v>
      </c>
    </row>
    <row r="182" spans="1:17">
      <c r="A182" s="39" t="s">
        <v>2198</v>
      </c>
      <c r="B182" s="39" t="s">
        <v>300</v>
      </c>
      <c r="C182" s="39" t="s">
        <v>156</v>
      </c>
      <c r="D182" s="39" t="s">
        <v>162</v>
      </c>
      <c r="E182" s="39" t="s">
        <v>100</v>
      </c>
      <c r="F182" s="33">
        <v>35998.36</v>
      </c>
      <c r="G182" s="15">
        <f t="shared" si="2"/>
        <v>35998</v>
      </c>
      <c r="H182" s="15"/>
      <c r="L182" s="46" t="s">
        <v>514</v>
      </c>
      <c r="M182" s="46" t="s">
        <v>515</v>
      </c>
      <c r="N182" s="47">
        <v>-62942.68</v>
      </c>
      <c r="O182" s="42">
        <v>23904.14</v>
      </c>
      <c r="P182" s="42">
        <v>-86846.82</v>
      </c>
      <c r="Q182" s="42">
        <v>0</v>
      </c>
    </row>
    <row r="183" spans="1:17">
      <c r="A183" s="39" t="s">
        <v>516</v>
      </c>
      <c r="B183" s="39" t="s">
        <v>306</v>
      </c>
      <c r="C183" s="39" t="s">
        <v>156</v>
      </c>
      <c r="D183" s="39" t="s">
        <v>162</v>
      </c>
      <c r="E183" s="39" t="s">
        <v>100</v>
      </c>
      <c r="F183" s="33">
        <v>52409.27</v>
      </c>
      <c r="G183" s="15">
        <f t="shared" si="2"/>
        <v>52409</v>
      </c>
      <c r="H183" s="15"/>
      <c r="L183" s="46" t="s">
        <v>2198</v>
      </c>
      <c r="M183" s="46" t="s">
        <v>300</v>
      </c>
      <c r="N183" s="47">
        <v>35998.36</v>
      </c>
      <c r="O183" s="42">
        <v>0</v>
      </c>
      <c r="P183" s="42">
        <v>21068.28</v>
      </c>
      <c r="Q183" s="42">
        <v>14930.08</v>
      </c>
    </row>
    <row r="184" spans="1:17">
      <c r="A184" s="39" t="s">
        <v>518</v>
      </c>
      <c r="B184" s="39" t="s">
        <v>519</v>
      </c>
      <c r="C184" s="39" t="s">
        <v>156</v>
      </c>
      <c r="D184" s="39" t="s">
        <v>162</v>
      </c>
      <c r="E184" s="39" t="s">
        <v>100</v>
      </c>
      <c r="F184" s="33">
        <v>135274.39000000001</v>
      </c>
      <c r="G184" s="15">
        <f t="shared" si="2"/>
        <v>135274</v>
      </c>
      <c r="H184" s="15"/>
      <c r="L184" s="46" t="s">
        <v>516</v>
      </c>
      <c r="M184" s="46" t="s">
        <v>306</v>
      </c>
      <c r="N184" s="47">
        <v>52409.27</v>
      </c>
      <c r="O184" s="42">
        <v>22461.26</v>
      </c>
      <c r="P184" s="42">
        <v>27890.18</v>
      </c>
      <c r="Q184" s="42">
        <v>2057.83</v>
      </c>
    </row>
    <row r="185" spans="1:17">
      <c r="A185" s="39" t="s">
        <v>520</v>
      </c>
      <c r="B185" s="39" t="s">
        <v>521</v>
      </c>
      <c r="C185" s="39" t="s">
        <v>156</v>
      </c>
      <c r="D185" s="39" t="s">
        <v>162</v>
      </c>
      <c r="E185" s="39" t="s">
        <v>100</v>
      </c>
      <c r="F185" s="33">
        <v>3973.1</v>
      </c>
      <c r="G185" s="15">
        <f t="shared" si="2"/>
        <v>3973</v>
      </c>
      <c r="H185" s="15"/>
      <c r="L185" s="46" t="s">
        <v>518</v>
      </c>
      <c r="M185" s="46" t="s">
        <v>519</v>
      </c>
      <c r="N185" s="47">
        <v>135274.39000000001</v>
      </c>
      <c r="O185" s="42">
        <v>3716.22</v>
      </c>
      <c r="P185" s="42">
        <v>127882.41</v>
      </c>
      <c r="Q185" s="42">
        <v>3675.76</v>
      </c>
    </row>
    <row r="186" spans="1:17">
      <c r="A186" s="39" t="s">
        <v>522</v>
      </c>
      <c r="B186" s="39" t="s">
        <v>216</v>
      </c>
      <c r="C186" s="39" t="s">
        <v>156</v>
      </c>
      <c r="D186" s="39" t="s">
        <v>162</v>
      </c>
      <c r="E186" s="39" t="s">
        <v>100</v>
      </c>
      <c r="F186" s="33">
        <v>8197.5</v>
      </c>
      <c r="G186" s="15">
        <f t="shared" si="2"/>
        <v>8198</v>
      </c>
      <c r="H186" s="15"/>
      <c r="L186" s="46" t="s">
        <v>520</v>
      </c>
      <c r="M186" s="46" t="s">
        <v>521</v>
      </c>
      <c r="N186" s="47">
        <v>3973.1</v>
      </c>
      <c r="O186" s="42">
        <v>446.5</v>
      </c>
      <c r="P186" s="42">
        <v>3358.6</v>
      </c>
      <c r="Q186" s="42">
        <v>168</v>
      </c>
    </row>
    <row r="187" spans="1:17">
      <c r="A187" s="39" t="s">
        <v>523</v>
      </c>
      <c r="B187" s="39" t="s">
        <v>526</v>
      </c>
      <c r="C187" s="39" t="s">
        <v>156</v>
      </c>
      <c r="D187" s="39" t="s">
        <v>162</v>
      </c>
      <c r="E187" s="39" t="s">
        <v>100</v>
      </c>
      <c r="F187" s="33">
        <v>0.5</v>
      </c>
      <c r="G187" s="15">
        <f t="shared" si="2"/>
        <v>1</v>
      </c>
      <c r="H187" s="15"/>
      <c r="L187" s="46" t="s">
        <v>522</v>
      </c>
      <c r="M187" s="46" t="s">
        <v>216</v>
      </c>
      <c r="N187" s="47">
        <v>8197.5</v>
      </c>
      <c r="O187" s="42">
        <v>0</v>
      </c>
      <c r="P187" s="42">
        <v>8197.5</v>
      </c>
      <c r="Q187" s="42">
        <v>0</v>
      </c>
    </row>
    <row r="188" spans="1:17">
      <c r="A188" s="39" t="s">
        <v>527</v>
      </c>
      <c r="B188" s="39" t="s">
        <v>341</v>
      </c>
      <c r="C188" s="39" t="s">
        <v>156</v>
      </c>
      <c r="D188" s="39" t="s">
        <v>169</v>
      </c>
      <c r="E188" s="39" t="s">
        <v>528</v>
      </c>
      <c r="F188" s="33">
        <v>2440426.2200000002</v>
      </c>
      <c r="G188" s="15">
        <f t="shared" si="2"/>
        <v>2440426</v>
      </c>
      <c r="H188" s="15"/>
      <c r="L188" s="46" t="s">
        <v>523</v>
      </c>
      <c r="M188" s="46" t="s">
        <v>526</v>
      </c>
      <c r="N188" s="47"/>
      <c r="O188" s="42">
        <v>0</v>
      </c>
      <c r="P188" s="42"/>
      <c r="Q188" s="42">
        <v>0</v>
      </c>
    </row>
    <row r="189" spans="1:17">
      <c r="A189" s="39" t="s">
        <v>529</v>
      </c>
      <c r="B189" s="39" t="s">
        <v>530</v>
      </c>
      <c r="C189" s="39" t="s">
        <v>156</v>
      </c>
      <c r="D189" s="39" t="s">
        <v>157</v>
      </c>
      <c r="E189" s="39" t="s">
        <v>100</v>
      </c>
      <c r="F189" s="33">
        <v>0</v>
      </c>
      <c r="G189" s="15">
        <f t="shared" si="2"/>
        <v>0</v>
      </c>
      <c r="H189" s="15"/>
      <c r="L189" s="46" t="s">
        <v>527</v>
      </c>
      <c r="M189" s="46" t="s">
        <v>341</v>
      </c>
      <c r="N189" s="47">
        <v>2440425.7199999997</v>
      </c>
      <c r="O189" s="42">
        <v>423951.3</v>
      </c>
      <c r="P189" s="42">
        <v>1820895.0500000003</v>
      </c>
      <c r="Q189" s="42">
        <v>195579.37</v>
      </c>
    </row>
    <row r="190" spans="1:17">
      <c r="A190" s="39" t="s">
        <v>531</v>
      </c>
      <c r="B190" s="39" t="s">
        <v>532</v>
      </c>
      <c r="C190" s="39" t="s">
        <v>156</v>
      </c>
      <c r="D190" s="39" t="s">
        <v>162</v>
      </c>
      <c r="E190" s="39" t="s">
        <v>100</v>
      </c>
      <c r="F190" s="33">
        <v>44063.32</v>
      </c>
      <c r="G190" s="15">
        <f t="shared" si="2"/>
        <v>44063</v>
      </c>
      <c r="H190" s="15"/>
      <c r="L190" s="46" t="s">
        <v>529</v>
      </c>
      <c r="M190" s="46" t="s">
        <v>530</v>
      </c>
      <c r="N190" s="47">
        <v>0</v>
      </c>
      <c r="O190" s="47">
        <v>0</v>
      </c>
      <c r="P190" s="47">
        <v>0</v>
      </c>
      <c r="Q190" s="47">
        <v>0</v>
      </c>
    </row>
    <row r="191" spans="1:17">
      <c r="A191" s="39" t="s">
        <v>533</v>
      </c>
      <c r="B191" s="39" t="s">
        <v>2164</v>
      </c>
      <c r="C191" s="39" t="s">
        <v>872</v>
      </c>
      <c r="D191" s="39" t="s">
        <v>162</v>
      </c>
      <c r="E191" s="39" t="s">
        <v>100</v>
      </c>
      <c r="F191" s="33">
        <v>67685.429999999993</v>
      </c>
      <c r="G191" s="15">
        <f t="shared" si="2"/>
        <v>67685</v>
      </c>
      <c r="H191" s="15"/>
      <c r="L191" s="46" t="s">
        <v>531</v>
      </c>
      <c r="M191" s="46" t="s">
        <v>532</v>
      </c>
      <c r="N191" s="47">
        <v>44063.32</v>
      </c>
      <c r="O191" s="42">
        <v>2228.6999999999998</v>
      </c>
      <c r="P191" s="42">
        <v>42557.67</v>
      </c>
      <c r="Q191" s="42">
        <v>-723.05</v>
      </c>
    </row>
    <row r="192" spans="1:17">
      <c r="A192" s="39" t="s">
        <v>535</v>
      </c>
      <c r="B192" s="39" t="s">
        <v>536</v>
      </c>
      <c r="C192" s="39" t="s">
        <v>156</v>
      </c>
      <c r="D192" s="39" t="s">
        <v>162</v>
      </c>
      <c r="E192" s="39" t="s">
        <v>100</v>
      </c>
      <c r="F192" s="33">
        <v>27447.89</v>
      </c>
      <c r="G192" s="15">
        <f t="shared" si="2"/>
        <v>27448</v>
      </c>
      <c r="H192" s="15"/>
      <c r="L192" s="46" t="s">
        <v>533</v>
      </c>
      <c r="M192" s="46" t="s">
        <v>2164</v>
      </c>
      <c r="N192" s="47">
        <v>67685.429999999993</v>
      </c>
      <c r="O192" s="42">
        <v>23938.37</v>
      </c>
      <c r="P192" s="42">
        <v>23129.65</v>
      </c>
      <c r="Q192" s="42">
        <v>20617.41</v>
      </c>
    </row>
    <row r="193" spans="1:17">
      <c r="A193" s="39" t="s">
        <v>537</v>
      </c>
      <c r="B193" s="39" t="s">
        <v>538</v>
      </c>
      <c r="C193" s="39" t="s">
        <v>156</v>
      </c>
      <c r="D193" s="39" t="s">
        <v>162</v>
      </c>
      <c r="E193" s="39" t="s">
        <v>100</v>
      </c>
      <c r="F193" s="33">
        <v>86112.68</v>
      </c>
      <c r="G193" s="15">
        <f t="shared" si="2"/>
        <v>86113</v>
      </c>
      <c r="H193" s="15"/>
      <c r="L193" s="46" t="s">
        <v>535</v>
      </c>
      <c r="M193" s="46" t="s">
        <v>536</v>
      </c>
      <c r="N193" s="47">
        <v>27447.89</v>
      </c>
      <c r="O193" s="42">
        <v>0</v>
      </c>
      <c r="P193" s="42">
        <v>27447.89</v>
      </c>
      <c r="Q193" s="42">
        <v>0</v>
      </c>
    </row>
    <row r="194" spans="1:17">
      <c r="A194" s="39" t="s">
        <v>539</v>
      </c>
      <c r="B194" s="39" t="s">
        <v>540</v>
      </c>
      <c r="C194" s="39" t="s">
        <v>156</v>
      </c>
      <c r="D194" s="39" t="s">
        <v>162</v>
      </c>
      <c r="E194" s="39" t="s">
        <v>100</v>
      </c>
      <c r="F194" s="33">
        <v>310641.14</v>
      </c>
      <c r="G194" s="15">
        <f t="shared" si="2"/>
        <v>310641</v>
      </c>
      <c r="H194" s="15"/>
      <c r="L194" s="46" t="s">
        <v>537</v>
      </c>
      <c r="M194" s="46" t="s">
        <v>538</v>
      </c>
      <c r="N194" s="47">
        <v>86112.68</v>
      </c>
      <c r="O194" s="42">
        <v>9058.49</v>
      </c>
      <c r="P194" s="42">
        <v>70912.22</v>
      </c>
      <c r="Q194" s="42">
        <v>6141.97</v>
      </c>
    </row>
    <row r="195" spans="1:17">
      <c r="A195" s="39" t="s">
        <v>541</v>
      </c>
      <c r="B195" s="39" t="s">
        <v>542</v>
      </c>
      <c r="C195" s="39" t="s">
        <v>156</v>
      </c>
      <c r="D195" s="39" t="s">
        <v>162</v>
      </c>
      <c r="E195" s="39" t="s">
        <v>100</v>
      </c>
      <c r="F195" s="33">
        <v>50481.29</v>
      </c>
      <c r="G195" s="15">
        <f t="shared" si="2"/>
        <v>50481</v>
      </c>
      <c r="H195" s="15"/>
      <c r="L195" s="46" t="s">
        <v>539</v>
      </c>
      <c r="M195" s="46" t="s">
        <v>540</v>
      </c>
      <c r="N195" s="47">
        <v>310641.14</v>
      </c>
      <c r="O195" s="42">
        <v>116810.64</v>
      </c>
      <c r="P195" s="42">
        <v>160412.5</v>
      </c>
      <c r="Q195" s="42">
        <v>33418</v>
      </c>
    </row>
    <row r="196" spans="1:17">
      <c r="A196" s="39" t="s">
        <v>543</v>
      </c>
      <c r="B196" s="39" t="s">
        <v>220</v>
      </c>
      <c r="C196" s="39" t="s">
        <v>156</v>
      </c>
      <c r="D196" s="39" t="s">
        <v>162</v>
      </c>
      <c r="E196" s="39" t="s">
        <v>100</v>
      </c>
      <c r="F196" s="33">
        <v>14863.81</v>
      </c>
      <c r="G196" s="15">
        <f t="shared" si="2"/>
        <v>14864</v>
      </c>
      <c r="H196" s="15"/>
      <c r="L196" s="46" t="s">
        <v>541</v>
      </c>
      <c r="M196" s="46" t="s">
        <v>542</v>
      </c>
      <c r="N196" s="47">
        <v>50481.29</v>
      </c>
      <c r="O196" s="42">
        <v>45324.29</v>
      </c>
      <c r="P196" s="42">
        <v>3999</v>
      </c>
      <c r="Q196" s="42">
        <v>1158</v>
      </c>
    </row>
    <row r="197" spans="1:17">
      <c r="A197" s="39" t="s">
        <v>547</v>
      </c>
      <c r="B197" s="39" t="s">
        <v>548</v>
      </c>
      <c r="C197" s="39" t="s">
        <v>156</v>
      </c>
      <c r="D197" s="39" t="s">
        <v>169</v>
      </c>
      <c r="E197" s="39" t="s">
        <v>549</v>
      </c>
      <c r="F197" s="33">
        <v>601295.56000000006</v>
      </c>
      <c r="G197" s="15">
        <f t="shared" si="2"/>
        <v>601296</v>
      </c>
      <c r="H197" s="15"/>
      <c r="L197" s="46" t="s">
        <v>543</v>
      </c>
      <c r="M197" s="46" t="s">
        <v>220</v>
      </c>
      <c r="N197" s="47">
        <v>14863.81</v>
      </c>
      <c r="O197" s="42">
        <v>10881.18</v>
      </c>
      <c r="P197" s="47">
        <v>3982.63</v>
      </c>
      <c r="Q197" s="47">
        <v>0</v>
      </c>
    </row>
    <row r="198" spans="1:17">
      <c r="A198" s="39" t="s">
        <v>550</v>
      </c>
      <c r="B198" s="39" t="s">
        <v>551</v>
      </c>
      <c r="C198" s="39" t="s">
        <v>156</v>
      </c>
      <c r="D198" s="39" t="s">
        <v>157</v>
      </c>
      <c r="E198" s="39" t="s">
        <v>100</v>
      </c>
      <c r="F198" s="33">
        <v>0</v>
      </c>
      <c r="G198" s="15">
        <f t="shared" ref="G198:G261" si="3">ROUND(F198,0)</f>
        <v>0</v>
      </c>
      <c r="H198" s="15"/>
      <c r="L198" s="46" t="s">
        <v>547</v>
      </c>
      <c r="M198" s="46" t="s">
        <v>548</v>
      </c>
      <c r="N198" s="47">
        <v>601295.56000000006</v>
      </c>
      <c r="O198" s="47">
        <v>208241.67</v>
      </c>
      <c r="P198" s="47">
        <v>332441.56</v>
      </c>
      <c r="Q198" s="47">
        <v>60612.33</v>
      </c>
    </row>
    <row r="199" spans="1:17">
      <c r="A199" s="39" t="s">
        <v>552</v>
      </c>
      <c r="B199" s="39" t="s">
        <v>553</v>
      </c>
      <c r="C199" s="39" t="s">
        <v>156</v>
      </c>
      <c r="D199" s="39" t="s">
        <v>162</v>
      </c>
      <c r="E199" s="39" t="s">
        <v>100</v>
      </c>
      <c r="F199" s="33">
        <v>355400</v>
      </c>
      <c r="G199" s="15">
        <f t="shared" si="3"/>
        <v>355400</v>
      </c>
      <c r="H199" s="15"/>
      <c r="L199" s="46" t="s">
        <v>550</v>
      </c>
      <c r="M199" s="46" t="s">
        <v>551</v>
      </c>
      <c r="N199" s="47">
        <v>0</v>
      </c>
      <c r="O199" s="47">
        <v>0</v>
      </c>
      <c r="P199" s="47">
        <v>0</v>
      </c>
      <c r="Q199" s="47">
        <v>0</v>
      </c>
    </row>
    <row r="200" spans="1:17">
      <c r="A200" s="39" t="s">
        <v>554</v>
      </c>
      <c r="B200" s="39" t="s">
        <v>555</v>
      </c>
      <c r="C200" s="39" t="s">
        <v>156</v>
      </c>
      <c r="D200" s="39" t="s">
        <v>162</v>
      </c>
      <c r="E200" s="39" t="s">
        <v>100</v>
      </c>
      <c r="F200" s="33">
        <v>121263.26</v>
      </c>
      <c r="G200" s="15">
        <f t="shared" si="3"/>
        <v>121263</v>
      </c>
      <c r="H200" s="15"/>
      <c r="L200" s="46" t="s">
        <v>552</v>
      </c>
      <c r="M200" s="46" t="s">
        <v>553</v>
      </c>
      <c r="N200" s="47">
        <v>355400</v>
      </c>
      <c r="O200" s="42">
        <v>355400</v>
      </c>
      <c r="P200" s="47">
        <v>0</v>
      </c>
      <c r="Q200" s="42">
        <v>0</v>
      </c>
    </row>
    <row r="201" spans="1:17">
      <c r="A201" s="39" t="s">
        <v>556</v>
      </c>
      <c r="B201" s="39" t="s">
        <v>557</v>
      </c>
      <c r="C201" s="39" t="s">
        <v>156</v>
      </c>
      <c r="D201" s="39" t="s">
        <v>162</v>
      </c>
      <c r="E201" s="39" t="s">
        <v>100</v>
      </c>
      <c r="F201" s="33">
        <v>1003658.01</v>
      </c>
      <c r="G201" s="15">
        <f t="shared" si="3"/>
        <v>1003658</v>
      </c>
      <c r="H201" s="15"/>
      <c r="L201" s="46" t="s">
        <v>554</v>
      </c>
      <c r="M201" s="46" t="s">
        <v>555</v>
      </c>
      <c r="N201" s="47">
        <v>121263.26</v>
      </c>
      <c r="O201" s="42">
        <v>37927.699999999997</v>
      </c>
      <c r="P201" s="42">
        <v>62357.68</v>
      </c>
      <c r="Q201" s="42">
        <v>20977.88</v>
      </c>
    </row>
    <row r="202" spans="1:17">
      <c r="A202" s="39" t="s">
        <v>558</v>
      </c>
      <c r="B202" s="39" t="s">
        <v>559</v>
      </c>
      <c r="C202" s="39" t="s">
        <v>156</v>
      </c>
      <c r="D202" s="39" t="s">
        <v>162</v>
      </c>
      <c r="E202" s="39" t="s">
        <v>100</v>
      </c>
      <c r="F202" s="33">
        <v>130445.07</v>
      </c>
      <c r="G202" s="15">
        <f t="shared" si="3"/>
        <v>130445</v>
      </c>
      <c r="H202" s="15">
        <v>3469.38</v>
      </c>
      <c r="I202" t="s">
        <v>77</v>
      </c>
      <c r="L202" s="46" t="s">
        <v>556</v>
      </c>
      <c r="M202" s="46" t="s">
        <v>557</v>
      </c>
      <c r="N202" s="47">
        <v>1003807.76</v>
      </c>
      <c r="O202" s="42">
        <v>371215.46</v>
      </c>
      <c r="P202" s="42">
        <v>540012.68999999994</v>
      </c>
      <c r="Q202" s="42">
        <v>92579.61</v>
      </c>
    </row>
    <row r="203" spans="1:17">
      <c r="A203" s="39" t="s">
        <v>560</v>
      </c>
      <c r="B203" s="39" t="s">
        <v>561</v>
      </c>
      <c r="C203" s="39" t="s">
        <v>156</v>
      </c>
      <c r="D203" s="39" t="s">
        <v>162</v>
      </c>
      <c r="E203" s="39" t="s">
        <v>100</v>
      </c>
      <c r="F203" s="33">
        <v>35126.17</v>
      </c>
      <c r="G203" s="15">
        <f t="shared" si="3"/>
        <v>35126</v>
      </c>
      <c r="H203" s="15"/>
      <c r="L203" s="46" t="s">
        <v>558</v>
      </c>
      <c r="M203" s="46" t="s">
        <v>559</v>
      </c>
      <c r="N203" s="47">
        <v>130445.07</v>
      </c>
      <c r="O203" s="42">
        <v>32747.39</v>
      </c>
      <c r="P203" s="42">
        <v>79919.679999999993</v>
      </c>
      <c r="Q203" s="42">
        <v>17778</v>
      </c>
    </row>
    <row r="204" spans="1:17">
      <c r="A204" s="39" t="s">
        <v>562</v>
      </c>
      <c r="B204" s="39" t="s">
        <v>563</v>
      </c>
      <c r="C204" s="39" t="s">
        <v>156</v>
      </c>
      <c r="D204" s="39" t="s">
        <v>162</v>
      </c>
      <c r="E204" s="39" t="s">
        <v>100</v>
      </c>
      <c r="F204" s="33">
        <v>155057.24</v>
      </c>
      <c r="G204" s="15">
        <f t="shared" si="3"/>
        <v>155057</v>
      </c>
      <c r="H204" s="15"/>
      <c r="L204" s="46" t="s">
        <v>560</v>
      </c>
      <c r="M204" s="46" t="s">
        <v>561</v>
      </c>
      <c r="N204" s="47">
        <v>35126.17</v>
      </c>
      <c r="O204" s="42">
        <v>25746.97</v>
      </c>
      <c r="P204" s="42">
        <v>7437.25</v>
      </c>
      <c r="Q204" s="42">
        <v>1941.95</v>
      </c>
    </row>
    <row r="205" spans="1:17">
      <c r="A205" s="39" t="s">
        <v>564</v>
      </c>
      <c r="B205" s="39" t="s">
        <v>565</v>
      </c>
      <c r="C205" s="39" t="s">
        <v>156</v>
      </c>
      <c r="D205" s="39" t="s">
        <v>162</v>
      </c>
      <c r="E205" s="39" t="s">
        <v>100</v>
      </c>
      <c r="F205" s="33">
        <v>0</v>
      </c>
      <c r="G205" s="15">
        <f t="shared" si="3"/>
        <v>0</v>
      </c>
      <c r="H205" s="15"/>
      <c r="L205" s="46" t="s">
        <v>562</v>
      </c>
      <c r="M205" s="46" t="s">
        <v>563</v>
      </c>
      <c r="N205" s="47">
        <v>155057.24</v>
      </c>
      <c r="O205" s="47">
        <v>864.56</v>
      </c>
      <c r="P205" s="42">
        <v>148389.72</v>
      </c>
      <c r="Q205" s="42">
        <v>5802.96</v>
      </c>
    </row>
    <row r="206" spans="1:17">
      <c r="A206" s="39" t="s">
        <v>566</v>
      </c>
      <c r="B206" s="39" t="s">
        <v>567</v>
      </c>
      <c r="C206" s="39" t="s">
        <v>156</v>
      </c>
      <c r="D206" s="39" t="s">
        <v>169</v>
      </c>
      <c r="E206" s="39" t="s">
        <v>568</v>
      </c>
      <c r="F206" s="33">
        <v>1800949.75</v>
      </c>
      <c r="G206" s="15">
        <f t="shared" si="3"/>
        <v>1800950</v>
      </c>
      <c r="H206" s="15"/>
      <c r="L206" s="46" t="s">
        <v>564</v>
      </c>
      <c r="M206" s="46" t="s">
        <v>565</v>
      </c>
      <c r="N206" s="47">
        <v>0</v>
      </c>
      <c r="O206" s="47">
        <v>0</v>
      </c>
      <c r="P206" s="47">
        <v>0</v>
      </c>
      <c r="Q206" s="47">
        <v>0</v>
      </c>
    </row>
    <row r="207" spans="1:17">
      <c r="A207" s="39" t="s">
        <v>569</v>
      </c>
      <c r="B207" s="39" t="s">
        <v>570</v>
      </c>
      <c r="C207" s="39" t="s">
        <v>156</v>
      </c>
      <c r="D207" s="39" t="s">
        <v>157</v>
      </c>
      <c r="E207" s="39" t="s">
        <v>100</v>
      </c>
      <c r="F207" s="33">
        <v>0</v>
      </c>
      <c r="G207" s="15">
        <f t="shared" si="3"/>
        <v>0</v>
      </c>
      <c r="H207" s="15"/>
      <c r="L207" s="46" t="s">
        <v>566</v>
      </c>
      <c r="M207" s="46" t="s">
        <v>567</v>
      </c>
      <c r="N207" s="47">
        <v>1801099.5</v>
      </c>
      <c r="O207" s="47">
        <v>823902.08</v>
      </c>
      <c r="P207" s="47">
        <v>838117.02</v>
      </c>
      <c r="Q207" s="47">
        <v>139080.4</v>
      </c>
    </row>
    <row r="208" spans="1:17">
      <c r="A208" s="39" t="s">
        <v>571</v>
      </c>
      <c r="B208" s="39" t="s">
        <v>572</v>
      </c>
      <c r="C208" s="39" t="s">
        <v>156</v>
      </c>
      <c r="D208" s="39" t="s">
        <v>162</v>
      </c>
      <c r="E208" s="39" t="s">
        <v>100</v>
      </c>
      <c r="F208" s="33">
        <v>5213.59</v>
      </c>
      <c r="G208" s="15">
        <f t="shared" si="3"/>
        <v>5214</v>
      </c>
      <c r="H208" s="15"/>
      <c r="L208" s="46" t="s">
        <v>569</v>
      </c>
      <c r="M208" s="46" t="s">
        <v>570</v>
      </c>
      <c r="N208" s="47">
        <v>0</v>
      </c>
      <c r="O208" s="47">
        <v>0</v>
      </c>
      <c r="P208" s="47">
        <v>0</v>
      </c>
      <c r="Q208" s="47">
        <v>0</v>
      </c>
    </row>
    <row r="209" spans="1:17">
      <c r="A209" s="39" t="s">
        <v>573</v>
      </c>
      <c r="B209" s="39" t="s">
        <v>574</v>
      </c>
      <c r="C209" s="39" t="s">
        <v>156</v>
      </c>
      <c r="D209" s="39" t="s">
        <v>162</v>
      </c>
      <c r="E209" s="39" t="s">
        <v>100</v>
      </c>
      <c r="F209" s="33">
        <v>24637.5</v>
      </c>
      <c r="G209" s="15">
        <f t="shared" si="3"/>
        <v>24638</v>
      </c>
      <c r="H209" s="15"/>
      <c r="L209" s="46" t="s">
        <v>571</v>
      </c>
      <c r="M209" s="46" t="s">
        <v>572</v>
      </c>
      <c r="N209" s="47">
        <v>5213.59</v>
      </c>
      <c r="O209" s="47">
        <v>0</v>
      </c>
      <c r="P209" s="42">
        <v>5129.59</v>
      </c>
      <c r="Q209" s="42">
        <v>84</v>
      </c>
    </row>
    <row r="210" spans="1:17">
      <c r="A210" s="39" t="s">
        <v>575</v>
      </c>
      <c r="B210" s="39" t="s">
        <v>576</v>
      </c>
      <c r="C210" s="39" t="s">
        <v>156</v>
      </c>
      <c r="D210" s="39" t="s">
        <v>169</v>
      </c>
      <c r="E210" s="39" t="s">
        <v>577</v>
      </c>
      <c r="F210" s="33">
        <v>29851.09</v>
      </c>
      <c r="G210" s="15">
        <f t="shared" si="3"/>
        <v>29851</v>
      </c>
      <c r="H210" s="15"/>
      <c r="L210" s="46" t="s">
        <v>573</v>
      </c>
      <c r="M210" s="46" t="s">
        <v>574</v>
      </c>
      <c r="N210" s="47">
        <v>24637.5</v>
      </c>
      <c r="O210" s="42">
        <v>12000</v>
      </c>
      <c r="P210" s="42">
        <v>12637.5</v>
      </c>
      <c r="Q210" s="47">
        <v>0</v>
      </c>
    </row>
    <row r="211" spans="1:17">
      <c r="A211" s="39" t="s">
        <v>578</v>
      </c>
      <c r="B211" s="39" t="s">
        <v>579</v>
      </c>
      <c r="C211" s="39" t="s">
        <v>156</v>
      </c>
      <c r="D211" s="39" t="s">
        <v>157</v>
      </c>
      <c r="E211" s="39" t="s">
        <v>100</v>
      </c>
      <c r="F211" s="33">
        <v>0</v>
      </c>
      <c r="G211" s="15">
        <f t="shared" si="3"/>
        <v>0</v>
      </c>
      <c r="H211" s="15"/>
      <c r="L211" s="46" t="s">
        <v>575</v>
      </c>
      <c r="M211" s="46" t="s">
        <v>576</v>
      </c>
      <c r="N211" s="47">
        <v>29851.09</v>
      </c>
      <c r="O211" s="47">
        <v>12000</v>
      </c>
      <c r="P211" s="47">
        <v>17767.09</v>
      </c>
      <c r="Q211" s="47">
        <v>84</v>
      </c>
    </row>
    <row r="212" spans="1:17">
      <c r="A212" s="39" t="s">
        <v>580</v>
      </c>
      <c r="B212" s="39" t="s">
        <v>581</v>
      </c>
      <c r="C212" s="39" t="s">
        <v>156</v>
      </c>
      <c r="D212" s="39" t="s">
        <v>162</v>
      </c>
      <c r="E212" s="39" t="s">
        <v>100</v>
      </c>
      <c r="F212" s="33">
        <v>-8673.09</v>
      </c>
      <c r="G212" s="15">
        <f t="shared" si="3"/>
        <v>-8673</v>
      </c>
      <c r="H212" s="15"/>
      <c r="L212" s="46" t="s">
        <v>578</v>
      </c>
      <c r="M212" s="46" t="s">
        <v>579</v>
      </c>
      <c r="N212" s="47">
        <v>0</v>
      </c>
      <c r="O212" s="47">
        <v>0</v>
      </c>
      <c r="P212" s="47">
        <v>0</v>
      </c>
      <c r="Q212" s="47">
        <v>0</v>
      </c>
    </row>
    <row r="213" spans="1:17">
      <c r="A213" s="39" t="s">
        <v>582</v>
      </c>
      <c r="B213" s="39" t="s">
        <v>583</v>
      </c>
      <c r="C213" s="39" t="s">
        <v>156</v>
      </c>
      <c r="D213" s="39" t="s">
        <v>162</v>
      </c>
      <c r="E213" s="39" t="s">
        <v>100</v>
      </c>
      <c r="F213" s="33">
        <v>212692.68</v>
      </c>
      <c r="G213" s="15">
        <f t="shared" si="3"/>
        <v>212693</v>
      </c>
      <c r="H213" s="15"/>
      <c r="L213" s="46" t="s">
        <v>580</v>
      </c>
      <c r="M213" s="46" t="s">
        <v>581</v>
      </c>
      <c r="N213" s="47">
        <v>-8673.09</v>
      </c>
      <c r="O213" s="42">
        <v>-8673.09</v>
      </c>
      <c r="P213" s="47">
        <v>0</v>
      </c>
      <c r="Q213" s="47">
        <v>0</v>
      </c>
    </row>
    <row r="214" spans="1:17">
      <c r="A214" s="39" t="s">
        <v>584</v>
      </c>
      <c r="B214" s="39" t="s">
        <v>2199</v>
      </c>
      <c r="C214" s="39" t="s">
        <v>156</v>
      </c>
      <c r="D214" s="39" t="s">
        <v>162</v>
      </c>
      <c r="E214" s="39" t="s">
        <v>100</v>
      </c>
      <c r="F214" s="33">
        <v>-22360.12</v>
      </c>
      <c r="G214" s="15">
        <f t="shared" si="3"/>
        <v>-22360</v>
      </c>
      <c r="H214" s="15"/>
      <c r="L214" s="46" t="s">
        <v>582</v>
      </c>
      <c r="M214" s="46" t="s">
        <v>583</v>
      </c>
      <c r="N214" s="47">
        <v>212692.68</v>
      </c>
      <c r="O214" s="42">
        <v>212692.68</v>
      </c>
      <c r="P214" s="47">
        <v>0</v>
      </c>
      <c r="Q214" s="47">
        <v>0</v>
      </c>
    </row>
    <row r="215" spans="1:17">
      <c r="A215" s="39" t="s">
        <v>586</v>
      </c>
      <c r="B215" s="39" t="s">
        <v>587</v>
      </c>
      <c r="C215" s="39" t="s">
        <v>156</v>
      </c>
      <c r="D215" s="39" t="s">
        <v>162</v>
      </c>
      <c r="E215" s="39" t="s">
        <v>100</v>
      </c>
      <c r="F215" s="33">
        <v>104180.12</v>
      </c>
      <c r="G215" s="15">
        <f t="shared" si="3"/>
        <v>104180</v>
      </c>
      <c r="H215" s="15"/>
      <c r="L215" s="46" t="s">
        <v>584</v>
      </c>
      <c r="M215" s="46" t="s">
        <v>2199</v>
      </c>
      <c r="N215" s="47">
        <v>-22360.12</v>
      </c>
      <c r="O215" s="42">
        <v>-22360.12</v>
      </c>
      <c r="P215" s="47">
        <v>0</v>
      </c>
      <c r="Q215" s="47">
        <v>0</v>
      </c>
    </row>
    <row r="216" spans="1:17">
      <c r="A216" s="39" t="s">
        <v>588</v>
      </c>
      <c r="B216" s="39" t="s">
        <v>589</v>
      </c>
      <c r="C216" s="39" t="s">
        <v>156</v>
      </c>
      <c r="D216" s="39" t="s">
        <v>162</v>
      </c>
      <c r="E216" s="39" t="s">
        <v>100</v>
      </c>
      <c r="F216" s="33">
        <v>56183.47</v>
      </c>
      <c r="G216" s="15">
        <f t="shared" si="3"/>
        <v>56183</v>
      </c>
      <c r="H216" s="15"/>
      <c r="L216" s="46" t="s">
        <v>586</v>
      </c>
      <c r="M216" s="46" t="s">
        <v>587</v>
      </c>
      <c r="N216" s="47">
        <v>104180.12</v>
      </c>
      <c r="O216" s="47">
        <v>0</v>
      </c>
      <c r="P216" s="42">
        <v>104180.12</v>
      </c>
      <c r="Q216" s="47">
        <v>0</v>
      </c>
    </row>
    <row r="217" spans="1:17">
      <c r="A217" s="39" t="s">
        <v>590</v>
      </c>
      <c r="B217" s="39" t="s">
        <v>591</v>
      </c>
      <c r="C217" s="39" t="s">
        <v>156</v>
      </c>
      <c r="D217" s="39" t="s">
        <v>162</v>
      </c>
      <c r="E217" s="39" t="s">
        <v>100</v>
      </c>
      <c r="F217" s="33">
        <v>20711.150000000001</v>
      </c>
      <c r="G217" s="15">
        <f t="shared" si="3"/>
        <v>20711</v>
      </c>
      <c r="H217" s="15"/>
      <c r="L217" s="46" t="s">
        <v>588</v>
      </c>
      <c r="M217" s="46" t="s">
        <v>589</v>
      </c>
      <c r="N217" s="47">
        <v>56183.47</v>
      </c>
      <c r="O217" s="47">
        <v>0</v>
      </c>
      <c r="P217" s="42">
        <v>56183.47</v>
      </c>
      <c r="Q217" s="47">
        <v>0</v>
      </c>
    </row>
    <row r="218" spans="1:17">
      <c r="A218" s="39" t="s">
        <v>592</v>
      </c>
      <c r="B218" s="39" t="s">
        <v>2275</v>
      </c>
      <c r="C218" s="39" t="s">
        <v>156</v>
      </c>
      <c r="D218" s="39" t="s">
        <v>162</v>
      </c>
      <c r="E218" s="39" t="s">
        <v>100</v>
      </c>
      <c r="F218" s="33">
        <v>18247.259999999998</v>
      </c>
      <c r="G218" s="15">
        <f t="shared" si="3"/>
        <v>18247</v>
      </c>
      <c r="H218" s="15"/>
      <c r="L218" s="46" t="s">
        <v>590</v>
      </c>
      <c r="M218" s="46" t="s">
        <v>591</v>
      </c>
      <c r="N218" s="47">
        <v>20711.150000000001</v>
      </c>
      <c r="O218" s="42">
        <v>20711.150000000001</v>
      </c>
      <c r="P218" s="47">
        <v>0</v>
      </c>
      <c r="Q218" s="47">
        <v>0</v>
      </c>
    </row>
    <row r="219" spans="1:17">
      <c r="A219" s="39" t="s">
        <v>597</v>
      </c>
      <c r="B219" s="39" t="s">
        <v>595</v>
      </c>
      <c r="C219" s="39" t="s">
        <v>156</v>
      </c>
      <c r="D219" s="39" t="s">
        <v>169</v>
      </c>
      <c r="E219" s="39" t="s">
        <v>2252</v>
      </c>
      <c r="F219" s="33">
        <v>380981.47</v>
      </c>
      <c r="G219" s="15">
        <f t="shared" si="3"/>
        <v>380981</v>
      </c>
      <c r="H219" s="15"/>
      <c r="L219" s="46" t="s">
        <v>592</v>
      </c>
      <c r="M219" s="46" t="s">
        <v>2275</v>
      </c>
      <c r="N219" s="47">
        <v>18247.259999999998</v>
      </c>
      <c r="O219" s="42">
        <v>18247.259999999998</v>
      </c>
      <c r="P219" s="47">
        <v>0</v>
      </c>
      <c r="Q219" s="47">
        <v>0</v>
      </c>
    </row>
    <row r="220" spans="1:17">
      <c r="A220" s="39" t="s">
        <v>620</v>
      </c>
      <c r="B220" s="39" t="s">
        <v>621</v>
      </c>
      <c r="C220" s="39" t="s">
        <v>156</v>
      </c>
      <c r="D220" s="39" t="s">
        <v>169</v>
      </c>
      <c r="E220" s="39" t="s">
        <v>622</v>
      </c>
      <c r="F220" s="33">
        <v>2162241.1</v>
      </c>
      <c r="G220" s="15">
        <f t="shared" si="3"/>
        <v>2162241</v>
      </c>
      <c r="H220" s="15"/>
      <c r="L220" s="46" t="s">
        <v>597</v>
      </c>
      <c r="M220" s="46" t="s">
        <v>595</v>
      </c>
      <c r="N220" s="47">
        <v>380981.47</v>
      </c>
      <c r="O220" s="47">
        <v>220617.88</v>
      </c>
      <c r="P220" s="47">
        <v>160363.59</v>
      </c>
      <c r="Q220" s="47">
        <v>0</v>
      </c>
    </row>
    <row r="221" spans="1:17">
      <c r="A221" s="39" t="s">
        <v>623</v>
      </c>
      <c r="B221" s="39" t="s">
        <v>624</v>
      </c>
      <c r="C221" s="39" t="s">
        <v>156</v>
      </c>
      <c r="D221" s="39" t="s">
        <v>169</v>
      </c>
      <c r="E221" s="39" t="s">
        <v>625</v>
      </c>
      <c r="F221" s="33">
        <v>2256459.0099999998</v>
      </c>
      <c r="G221" s="15">
        <f t="shared" si="3"/>
        <v>2256459</v>
      </c>
      <c r="H221" s="15"/>
      <c r="L221" s="46" t="s">
        <v>620</v>
      </c>
      <c r="M221" s="46" t="s">
        <v>621</v>
      </c>
      <c r="N221" s="47">
        <f>+N165+N175+N189+N198+N207+N211+N220</f>
        <v>2162390.3499999996</v>
      </c>
      <c r="O221" s="47">
        <v>1689268.43</v>
      </c>
      <c r="P221" s="47">
        <f>+P165+P175+P189+P198+P207+P211+P220</f>
        <v>488142.70000000007</v>
      </c>
      <c r="Q221" s="47">
        <v>-15020.78</v>
      </c>
    </row>
    <row r="222" spans="1:17">
      <c r="A222" s="39" t="s">
        <v>626</v>
      </c>
      <c r="B222" s="39" t="s">
        <v>627</v>
      </c>
      <c r="C222" s="39" t="s">
        <v>156</v>
      </c>
      <c r="D222" s="39" t="s">
        <v>157</v>
      </c>
      <c r="E222" s="39" t="s">
        <v>100</v>
      </c>
      <c r="F222" s="33">
        <v>0</v>
      </c>
      <c r="G222" s="15">
        <f t="shared" si="3"/>
        <v>0</v>
      </c>
      <c r="H222" s="15"/>
      <c r="L222" s="46" t="s">
        <v>623</v>
      </c>
      <c r="M222" s="46" t="s">
        <v>624</v>
      </c>
      <c r="N222" s="47">
        <v>2129882.4900000002</v>
      </c>
      <c r="O222" s="47">
        <v>1689268.43</v>
      </c>
      <c r="P222" s="47">
        <v>634862.34</v>
      </c>
      <c r="Q222" s="47">
        <v>-15020.78</v>
      </c>
    </row>
    <row r="223" spans="1:17">
      <c r="A223" s="39" t="s">
        <v>628</v>
      </c>
      <c r="B223" s="39" t="s">
        <v>629</v>
      </c>
      <c r="C223" s="39" t="s">
        <v>156</v>
      </c>
      <c r="D223" s="39" t="s">
        <v>162</v>
      </c>
      <c r="E223" s="39" t="s">
        <v>100</v>
      </c>
      <c r="F223" s="33">
        <v>9787.25</v>
      </c>
      <c r="G223" s="15">
        <f t="shared" si="3"/>
        <v>9787</v>
      </c>
      <c r="H223" s="15"/>
      <c r="L223" s="46" t="s">
        <v>626</v>
      </c>
      <c r="M223" s="46" t="s">
        <v>627</v>
      </c>
      <c r="N223" s="47">
        <v>0</v>
      </c>
      <c r="O223" s="47">
        <v>0</v>
      </c>
      <c r="P223" s="47">
        <v>0</v>
      </c>
      <c r="Q223" s="47">
        <v>0</v>
      </c>
    </row>
    <row r="224" spans="1:17">
      <c r="A224" s="39" t="s">
        <v>630</v>
      </c>
      <c r="B224" s="39" t="s">
        <v>631</v>
      </c>
      <c r="C224" s="39" t="s">
        <v>156</v>
      </c>
      <c r="D224" s="39" t="s">
        <v>169</v>
      </c>
      <c r="E224" s="39" t="s">
        <v>632</v>
      </c>
      <c r="F224" s="33">
        <v>9787.25</v>
      </c>
      <c r="G224" s="15">
        <f t="shared" si="3"/>
        <v>9787</v>
      </c>
      <c r="H224" s="15"/>
      <c r="L224" s="46" t="s">
        <v>628</v>
      </c>
      <c r="M224" s="46" t="s">
        <v>629</v>
      </c>
      <c r="N224" s="47">
        <v>0</v>
      </c>
      <c r="O224" s="47">
        <v>0</v>
      </c>
      <c r="P224" s="47">
        <v>0</v>
      </c>
      <c r="Q224" s="47">
        <v>0</v>
      </c>
    </row>
    <row r="225" spans="1:17">
      <c r="A225" s="39" t="s">
        <v>633</v>
      </c>
      <c r="B225" s="39" t="s">
        <v>634</v>
      </c>
      <c r="C225" s="39" t="s">
        <v>156</v>
      </c>
      <c r="D225" s="39" t="s">
        <v>169</v>
      </c>
      <c r="E225" s="39" t="s">
        <v>635</v>
      </c>
      <c r="F225" s="33">
        <v>2266246.2599999998</v>
      </c>
      <c r="G225" s="15">
        <f t="shared" si="3"/>
        <v>2266246</v>
      </c>
      <c r="H225" s="15"/>
      <c r="L225" s="46" t="s">
        <v>630</v>
      </c>
      <c r="M225" s="46" t="s">
        <v>631</v>
      </c>
      <c r="N225" s="47">
        <v>0</v>
      </c>
      <c r="O225" s="47">
        <v>0</v>
      </c>
      <c r="P225" s="47">
        <v>0</v>
      </c>
      <c r="Q225" s="47">
        <v>0</v>
      </c>
    </row>
    <row r="226" spans="1:17">
      <c r="A226" s="39" t="s">
        <v>636</v>
      </c>
      <c r="B226" s="39" t="s">
        <v>637</v>
      </c>
      <c r="C226" s="39" t="s">
        <v>156</v>
      </c>
      <c r="D226" s="39" t="s">
        <v>157</v>
      </c>
      <c r="E226" s="39" t="s">
        <v>100</v>
      </c>
      <c r="F226" s="33">
        <v>0</v>
      </c>
      <c r="G226" s="15">
        <f t="shared" si="3"/>
        <v>0</v>
      </c>
      <c r="H226" s="15"/>
      <c r="L226" s="46" t="s">
        <v>633</v>
      </c>
      <c r="M226" s="46" t="s">
        <v>634</v>
      </c>
      <c r="N226" s="47">
        <v>2309109.9900000002</v>
      </c>
      <c r="O226" s="47">
        <v>1689268.43</v>
      </c>
      <c r="P226" s="47">
        <v>634862.34</v>
      </c>
      <c r="Q226" s="47">
        <v>-15020.78</v>
      </c>
    </row>
    <row r="227" spans="1:17">
      <c r="A227" s="39" t="s">
        <v>2165</v>
      </c>
      <c r="B227" s="39" t="s">
        <v>639</v>
      </c>
      <c r="C227" s="39" t="s">
        <v>156</v>
      </c>
      <c r="D227" s="39" t="s">
        <v>157</v>
      </c>
      <c r="E227" s="39" t="s">
        <v>100</v>
      </c>
      <c r="F227" s="33">
        <v>0</v>
      </c>
      <c r="G227" s="15">
        <f t="shared" si="3"/>
        <v>0</v>
      </c>
      <c r="H227" s="15"/>
    </row>
    <row r="228" spans="1:17">
      <c r="A228" s="39" t="s">
        <v>638</v>
      </c>
      <c r="B228" s="39" t="s">
        <v>639</v>
      </c>
      <c r="C228" s="39" t="s">
        <v>156</v>
      </c>
      <c r="D228" s="39" t="s">
        <v>157</v>
      </c>
      <c r="E228" s="39" t="s">
        <v>100</v>
      </c>
      <c r="F228" s="33">
        <v>0</v>
      </c>
      <c r="G228" s="15">
        <f t="shared" si="3"/>
        <v>0</v>
      </c>
      <c r="H228" s="15"/>
    </row>
    <row r="229" spans="1:17">
      <c r="A229" s="39" t="s">
        <v>640</v>
      </c>
      <c r="B229" s="39" t="s">
        <v>641</v>
      </c>
      <c r="C229" s="39" t="s">
        <v>156</v>
      </c>
      <c r="D229" s="39" t="s">
        <v>162</v>
      </c>
      <c r="E229" s="39" t="s">
        <v>100</v>
      </c>
      <c r="F229" s="33">
        <v>-3302338</v>
      </c>
      <c r="G229" s="15">
        <f t="shared" si="3"/>
        <v>-3302338</v>
      </c>
      <c r="H229" s="15"/>
    </row>
    <row r="230" spans="1:17">
      <c r="A230" s="39" t="s">
        <v>642</v>
      </c>
      <c r="B230" s="39" t="s">
        <v>643</v>
      </c>
      <c r="C230" s="39" t="s">
        <v>156</v>
      </c>
      <c r="D230" s="39" t="s">
        <v>162</v>
      </c>
      <c r="E230" s="39" t="s">
        <v>100</v>
      </c>
      <c r="F230" s="33">
        <v>-51268.18</v>
      </c>
      <c r="G230" s="15">
        <f t="shared" si="3"/>
        <v>-51268</v>
      </c>
      <c r="H230" s="15"/>
    </row>
    <row r="231" spans="1:17">
      <c r="A231" s="39" t="s">
        <v>644</v>
      </c>
      <c r="B231" s="39" t="s">
        <v>645</v>
      </c>
      <c r="C231" s="39" t="s">
        <v>156</v>
      </c>
      <c r="D231" s="39" t="s">
        <v>162</v>
      </c>
      <c r="E231" s="39" t="s">
        <v>100</v>
      </c>
      <c r="F231" s="33">
        <v>10000</v>
      </c>
      <c r="G231" s="15">
        <f t="shared" si="3"/>
        <v>10000</v>
      </c>
      <c r="H231" s="15"/>
    </row>
    <row r="232" spans="1:17">
      <c r="A232" s="39" t="s">
        <v>646</v>
      </c>
      <c r="B232" s="39" t="s">
        <v>202</v>
      </c>
      <c r="C232" s="39" t="s">
        <v>156</v>
      </c>
      <c r="D232" s="39" t="s">
        <v>162</v>
      </c>
      <c r="E232" s="39" t="s">
        <v>100</v>
      </c>
      <c r="F232" s="33">
        <v>-2075</v>
      </c>
      <c r="G232" s="15">
        <f t="shared" si="3"/>
        <v>-2075</v>
      </c>
      <c r="H232" s="15"/>
    </row>
    <row r="233" spans="1:17">
      <c r="A233" s="39" t="s">
        <v>647</v>
      </c>
      <c r="B233" s="39" t="s">
        <v>648</v>
      </c>
      <c r="C233" s="39" t="s">
        <v>156</v>
      </c>
      <c r="D233" s="39" t="s">
        <v>162</v>
      </c>
      <c r="E233" s="39" t="s">
        <v>100</v>
      </c>
      <c r="F233" s="33">
        <v>147375.49</v>
      </c>
      <c r="G233" s="15">
        <f t="shared" si="3"/>
        <v>147375</v>
      </c>
      <c r="H233" s="15">
        <v>-25000</v>
      </c>
      <c r="I233" t="s">
        <v>2301</v>
      </c>
    </row>
    <row r="234" spans="1:17">
      <c r="A234" s="39" t="s">
        <v>649</v>
      </c>
      <c r="B234" s="39" t="s">
        <v>650</v>
      </c>
      <c r="C234" s="39" t="s">
        <v>156</v>
      </c>
      <c r="D234" s="39" t="s">
        <v>162</v>
      </c>
      <c r="E234" s="39" t="s">
        <v>100</v>
      </c>
      <c r="F234" s="33">
        <v>263235.15999999997</v>
      </c>
      <c r="G234" s="15">
        <f t="shared" si="3"/>
        <v>263235</v>
      </c>
      <c r="H234" s="15"/>
    </row>
    <row r="235" spans="1:17">
      <c r="A235" s="39" t="s">
        <v>651</v>
      </c>
      <c r="B235" s="39" t="s">
        <v>652</v>
      </c>
      <c r="C235" s="39" t="s">
        <v>156</v>
      </c>
      <c r="D235" s="39" t="s">
        <v>162</v>
      </c>
      <c r="E235" s="39" t="s">
        <v>100</v>
      </c>
      <c r="F235" s="33">
        <v>350810.87</v>
      </c>
      <c r="G235" s="15">
        <f t="shared" si="3"/>
        <v>350811</v>
      </c>
      <c r="H235" s="15"/>
    </row>
    <row r="236" spans="1:17">
      <c r="A236" s="39" t="s">
        <v>653</v>
      </c>
      <c r="B236" s="39" t="s">
        <v>654</v>
      </c>
      <c r="C236" s="39" t="s">
        <v>156</v>
      </c>
      <c r="D236" s="39" t="s">
        <v>162</v>
      </c>
      <c r="E236" s="39" t="s">
        <v>100</v>
      </c>
      <c r="F236" s="33">
        <v>160</v>
      </c>
      <c r="G236" s="15">
        <f t="shared" si="3"/>
        <v>160</v>
      </c>
      <c r="H236" s="15"/>
    </row>
    <row r="237" spans="1:17">
      <c r="A237" s="39" t="s">
        <v>655</v>
      </c>
      <c r="B237" s="39" t="s">
        <v>656</v>
      </c>
      <c r="C237" s="39" t="s">
        <v>156</v>
      </c>
      <c r="D237" s="39" t="s">
        <v>162</v>
      </c>
      <c r="E237" s="39" t="s">
        <v>100</v>
      </c>
      <c r="F237" s="33">
        <v>44094.9</v>
      </c>
      <c r="G237" s="15">
        <f t="shared" si="3"/>
        <v>44095</v>
      </c>
      <c r="H237" s="15"/>
    </row>
    <row r="238" spans="1:17">
      <c r="A238" s="39" t="s">
        <v>657</v>
      </c>
      <c r="B238" s="39" t="s">
        <v>658</v>
      </c>
      <c r="C238" s="39" t="s">
        <v>156</v>
      </c>
      <c r="D238" s="39" t="s">
        <v>162</v>
      </c>
      <c r="E238" s="39" t="s">
        <v>100</v>
      </c>
      <c r="F238" s="33">
        <v>2776.32</v>
      </c>
      <c r="G238" s="15">
        <f t="shared" si="3"/>
        <v>2776</v>
      </c>
      <c r="H238" s="15"/>
    </row>
    <row r="239" spans="1:17">
      <c r="A239" s="39" t="s">
        <v>659</v>
      </c>
      <c r="B239" s="39" t="s">
        <v>660</v>
      </c>
      <c r="C239" s="39" t="s">
        <v>156</v>
      </c>
      <c r="D239" s="39" t="s">
        <v>162</v>
      </c>
      <c r="E239" s="39" t="s">
        <v>100</v>
      </c>
      <c r="F239" s="33">
        <v>1101663.6000000001</v>
      </c>
      <c r="G239" s="15">
        <f t="shared" si="3"/>
        <v>1101664</v>
      </c>
      <c r="H239" s="15"/>
    </row>
    <row r="240" spans="1:17">
      <c r="A240" s="39" t="s">
        <v>661</v>
      </c>
      <c r="B240" s="39" t="s">
        <v>662</v>
      </c>
      <c r="C240" s="39" t="s">
        <v>156</v>
      </c>
      <c r="D240" s="39" t="s">
        <v>162</v>
      </c>
      <c r="E240" s="39" t="s">
        <v>100</v>
      </c>
      <c r="F240" s="33">
        <v>0</v>
      </c>
      <c r="G240" s="15">
        <f t="shared" si="3"/>
        <v>0</v>
      </c>
      <c r="H240" s="15"/>
    </row>
    <row r="241" spans="1:8">
      <c r="A241" s="39" t="s">
        <v>663</v>
      </c>
      <c r="B241" s="39" t="s">
        <v>664</v>
      </c>
      <c r="C241" s="39" t="s">
        <v>156</v>
      </c>
      <c r="D241" s="39" t="s">
        <v>162</v>
      </c>
      <c r="E241" s="39" t="s">
        <v>100</v>
      </c>
      <c r="F241" s="33">
        <v>1009653.03</v>
      </c>
      <c r="G241" s="15">
        <f t="shared" si="3"/>
        <v>1009653</v>
      </c>
      <c r="H241" s="15"/>
    </row>
    <row r="242" spans="1:8">
      <c r="A242" s="39" t="s">
        <v>665</v>
      </c>
      <c r="B242" s="39" t="s">
        <v>666</v>
      </c>
      <c r="C242" s="39" t="s">
        <v>156</v>
      </c>
      <c r="D242" s="39" t="s">
        <v>162</v>
      </c>
      <c r="E242" s="39" t="s">
        <v>100</v>
      </c>
      <c r="F242" s="33">
        <v>158461.91</v>
      </c>
      <c r="G242" s="15">
        <f t="shared" si="3"/>
        <v>158462</v>
      </c>
      <c r="H242" s="15"/>
    </row>
    <row r="243" spans="1:8">
      <c r="A243" s="39" t="s">
        <v>667</v>
      </c>
      <c r="B243" s="39" t="s">
        <v>220</v>
      </c>
      <c r="C243" s="39" t="s">
        <v>156</v>
      </c>
      <c r="D243" s="39" t="s">
        <v>162</v>
      </c>
      <c r="E243" s="39" t="s">
        <v>100</v>
      </c>
      <c r="F243" s="33">
        <v>71705.440000000002</v>
      </c>
      <c r="G243" s="15">
        <f t="shared" si="3"/>
        <v>71705</v>
      </c>
      <c r="H243" s="15"/>
    </row>
    <row r="244" spans="1:8">
      <c r="A244" s="39" t="s">
        <v>2253</v>
      </c>
      <c r="B244" s="39" t="s">
        <v>1586</v>
      </c>
      <c r="C244" s="39" t="s">
        <v>156</v>
      </c>
      <c r="D244" s="39" t="s">
        <v>169</v>
      </c>
      <c r="E244" s="39" t="s">
        <v>2254</v>
      </c>
      <c r="F244" s="33">
        <v>-195744.46</v>
      </c>
      <c r="G244" s="15">
        <f t="shared" si="3"/>
        <v>-195744</v>
      </c>
      <c r="H244" s="15"/>
    </row>
    <row r="245" spans="1:8">
      <c r="A245" s="39" t="s">
        <v>2255</v>
      </c>
      <c r="B245" s="39" t="s">
        <v>2256</v>
      </c>
      <c r="C245" s="39" t="s">
        <v>156</v>
      </c>
      <c r="D245" s="39" t="s">
        <v>157</v>
      </c>
      <c r="E245" s="39" t="s">
        <v>100</v>
      </c>
      <c r="F245" s="33">
        <v>0</v>
      </c>
      <c r="G245" s="15">
        <f t="shared" si="3"/>
        <v>0</v>
      </c>
      <c r="H245" s="15"/>
    </row>
    <row r="246" spans="1:8">
      <c r="A246" s="39" t="s">
        <v>668</v>
      </c>
      <c r="B246" s="39" t="s">
        <v>669</v>
      </c>
      <c r="C246" s="39" t="s">
        <v>156</v>
      </c>
      <c r="D246" s="39" t="s">
        <v>162</v>
      </c>
      <c r="E246" s="39" t="s">
        <v>100</v>
      </c>
      <c r="F246" s="33">
        <v>601256.31999999995</v>
      </c>
      <c r="G246" s="15">
        <f t="shared" si="3"/>
        <v>601256</v>
      </c>
      <c r="H246" s="15"/>
    </row>
    <row r="247" spans="1:8">
      <c r="A247" s="39" t="s">
        <v>670</v>
      </c>
      <c r="B247" s="39" t="s">
        <v>671</v>
      </c>
      <c r="C247" s="39" t="s">
        <v>156</v>
      </c>
      <c r="D247" s="39" t="s">
        <v>162</v>
      </c>
      <c r="E247" s="39" t="s">
        <v>100</v>
      </c>
      <c r="F247" s="33">
        <v>0</v>
      </c>
      <c r="G247" s="15">
        <f t="shared" si="3"/>
        <v>0</v>
      </c>
      <c r="H247" s="15"/>
    </row>
    <row r="248" spans="1:8">
      <c r="A248" s="39" t="s">
        <v>2166</v>
      </c>
      <c r="B248" s="39" t="s">
        <v>2167</v>
      </c>
      <c r="C248" s="39" t="s">
        <v>156</v>
      </c>
      <c r="D248" s="39" t="s">
        <v>169</v>
      </c>
      <c r="E248" s="39" t="s">
        <v>2257</v>
      </c>
      <c r="F248" s="33">
        <v>601256.31999999995</v>
      </c>
      <c r="G248" s="15">
        <f t="shared" si="3"/>
        <v>601256</v>
      </c>
      <c r="H248" s="15"/>
    </row>
    <row r="249" spans="1:8">
      <c r="A249" s="39" t="s">
        <v>672</v>
      </c>
      <c r="B249" s="39" t="s">
        <v>673</v>
      </c>
      <c r="C249" s="39" t="s">
        <v>156</v>
      </c>
      <c r="D249" s="39" t="s">
        <v>169</v>
      </c>
      <c r="E249" s="39" t="s">
        <v>2169</v>
      </c>
      <c r="F249" s="33">
        <v>405511.86</v>
      </c>
      <c r="G249" s="15">
        <f t="shared" si="3"/>
        <v>405512</v>
      </c>
      <c r="H249" s="15"/>
    </row>
    <row r="250" spans="1:8">
      <c r="A250" s="39" t="s">
        <v>675</v>
      </c>
      <c r="B250" s="39" t="s">
        <v>676</v>
      </c>
      <c r="C250" s="39" t="s">
        <v>156</v>
      </c>
      <c r="D250" s="39" t="s">
        <v>157</v>
      </c>
      <c r="E250" s="39" t="s">
        <v>100</v>
      </c>
      <c r="F250" s="33">
        <v>0</v>
      </c>
      <c r="G250" s="15">
        <f t="shared" si="3"/>
        <v>0</v>
      </c>
      <c r="H250" s="15"/>
    </row>
    <row r="251" spans="1:8">
      <c r="A251" s="39" t="s">
        <v>677</v>
      </c>
      <c r="B251" s="39" t="s">
        <v>678</v>
      </c>
      <c r="C251" s="39" t="s">
        <v>156</v>
      </c>
      <c r="D251" s="39" t="s">
        <v>162</v>
      </c>
      <c r="E251" s="39" t="s">
        <v>100</v>
      </c>
      <c r="F251" s="33">
        <v>-3145.3</v>
      </c>
      <c r="G251" s="15">
        <f t="shared" si="3"/>
        <v>-3145</v>
      </c>
      <c r="H251" s="15"/>
    </row>
    <row r="252" spans="1:8">
      <c r="A252" s="39" t="s">
        <v>679</v>
      </c>
      <c r="B252" s="39" t="s">
        <v>680</v>
      </c>
      <c r="C252" s="39" t="s">
        <v>156</v>
      </c>
      <c r="D252" s="39" t="s">
        <v>162</v>
      </c>
      <c r="E252" s="39" t="s">
        <v>100</v>
      </c>
      <c r="F252" s="33">
        <v>0</v>
      </c>
      <c r="G252" s="15">
        <f t="shared" si="3"/>
        <v>0</v>
      </c>
      <c r="H252" s="15"/>
    </row>
    <row r="253" spans="1:8">
      <c r="A253" s="39" t="s">
        <v>681</v>
      </c>
      <c r="B253" s="39" t="s">
        <v>682</v>
      </c>
      <c r="C253" s="39" t="s">
        <v>156</v>
      </c>
      <c r="D253" s="39" t="s">
        <v>169</v>
      </c>
      <c r="E253" s="39" t="s">
        <v>683</v>
      </c>
      <c r="F253" s="33">
        <v>-3145.3</v>
      </c>
      <c r="G253" s="15">
        <f t="shared" si="3"/>
        <v>-3145</v>
      </c>
      <c r="H253" s="15">
        <v>38877.64</v>
      </c>
    </row>
    <row r="254" spans="1:8">
      <c r="A254" s="39" t="s">
        <v>684</v>
      </c>
      <c r="B254" s="39" t="s">
        <v>685</v>
      </c>
      <c r="C254" s="39" t="s">
        <v>156</v>
      </c>
      <c r="D254" s="39" t="s">
        <v>157</v>
      </c>
      <c r="E254" s="39" t="s">
        <v>100</v>
      </c>
      <c r="F254" s="33">
        <v>0</v>
      </c>
      <c r="G254" s="15">
        <f t="shared" si="3"/>
        <v>0</v>
      </c>
      <c r="H254" s="15"/>
    </row>
    <row r="255" spans="1:8">
      <c r="A255" s="39" t="s">
        <v>686</v>
      </c>
      <c r="B255" s="39" t="s">
        <v>687</v>
      </c>
      <c r="C255" s="39" t="s">
        <v>156</v>
      </c>
      <c r="D255" s="39" t="s">
        <v>162</v>
      </c>
      <c r="E255" s="39" t="s">
        <v>100</v>
      </c>
      <c r="F255" s="33">
        <v>198716.78</v>
      </c>
      <c r="G255" s="15">
        <f t="shared" si="3"/>
        <v>198717</v>
      </c>
      <c r="H255" s="15"/>
    </row>
    <row r="256" spans="1:8">
      <c r="A256" s="39" t="s">
        <v>688</v>
      </c>
      <c r="B256" s="39" t="s">
        <v>689</v>
      </c>
      <c r="C256" s="39" t="s">
        <v>156</v>
      </c>
      <c r="D256" s="39" t="s">
        <v>162</v>
      </c>
      <c r="E256" s="39" t="s">
        <v>100</v>
      </c>
      <c r="F256" s="33">
        <v>3197</v>
      </c>
      <c r="G256" s="15">
        <f t="shared" si="3"/>
        <v>3197</v>
      </c>
      <c r="H256" s="15"/>
    </row>
    <row r="257" spans="1:8">
      <c r="A257" s="39" t="s">
        <v>690</v>
      </c>
      <c r="B257" s="39" t="s">
        <v>691</v>
      </c>
      <c r="C257" s="39" t="s">
        <v>156</v>
      </c>
      <c r="D257" s="39" t="s">
        <v>162</v>
      </c>
      <c r="E257" s="39" t="s">
        <v>100</v>
      </c>
      <c r="F257" s="33">
        <v>106381.13</v>
      </c>
      <c r="G257" s="15">
        <f t="shared" si="3"/>
        <v>106381</v>
      </c>
      <c r="H257" s="15"/>
    </row>
    <row r="258" spans="1:8">
      <c r="A258" s="39" t="s">
        <v>692</v>
      </c>
      <c r="B258" s="39" t="s">
        <v>693</v>
      </c>
      <c r="C258" s="39" t="s">
        <v>156</v>
      </c>
      <c r="D258" s="39" t="s">
        <v>162</v>
      </c>
      <c r="E258" s="39" t="s">
        <v>100</v>
      </c>
      <c r="F258" s="33">
        <v>17986.849999999999</v>
      </c>
      <c r="G258" s="15">
        <f t="shared" si="3"/>
        <v>17987</v>
      </c>
      <c r="H258" s="15"/>
    </row>
    <row r="259" spans="1:8">
      <c r="A259" s="39" t="s">
        <v>694</v>
      </c>
      <c r="B259" s="39" t="s">
        <v>695</v>
      </c>
      <c r="C259" s="39" t="s">
        <v>156</v>
      </c>
      <c r="D259" s="39" t="s">
        <v>162</v>
      </c>
      <c r="E259" s="39" t="s">
        <v>100</v>
      </c>
      <c r="F259" s="33">
        <v>41566.699999999997</v>
      </c>
      <c r="G259" s="15">
        <f t="shared" si="3"/>
        <v>41567</v>
      </c>
      <c r="H259" s="15"/>
    </row>
    <row r="260" spans="1:8">
      <c r="A260" s="39" t="s">
        <v>696</v>
      </c>
      <c r="B260" s="39" t="s">
        <v>697</v>
      </c>
      <c r="C260" s="39" t="s">
        <v>156</v>
      </c>
      <c r="D260" s="39" t="s">
        <v>169</v>
      </c>
      <c r="E260" s="39" t="s">
        <v>698</v>
      </c>
      <c r="F260" s="33">
        <v>367848.46</v>
      </c>
      <c r="G260" s="15">
        <f t="shared" si="3"/>
        <v>367848</v>
      </c>
      <c r="H260" s="15"/>
    </row>
    <row r="261" spans="1:8">
      <c r="A261" s="39" t="s">
        <v>699</v>
      </c>
      <c r="B261" s="39" t="s">
        <v>700</v>
      </c>
      <c r="C261" s="39" t="s">
        <v>156</v>
      </c>
      <c r="D261" s="39" t="s">
        <v>157</v>
      </c>
      <c r="E261" s="39" t="s">
        <v>100</v>
      </c>
      <c r="F261" s="33">
        <v>0</v>
      </c>
      <c r="G261" s="15">
        <f t="shared" si="3"/>
        <v>0</v>
      </c>
      <c r="H261" s="15"/>
    </row>
    <row r="262" spans="1:8">
      <c r="A262" s="39" t="s">
        <v>701</v>
      </c>
      <c r="B262" s="39" t="s">
        <v>702</v>
      </c>
      <c r="C262" s="39" t="s">
        <v>156</v>
      </c>
      <c r="D262" s="39" t="s">
        <v>162</v>
      </c>
      <c r="E262" s="39" t="s">
        <v>100</v>
      </c>
      <c r="F262" s="33">
        <v>-49600</v>
      </c>
      <c r="G262" s="15">
        <f t="shared" ref="G262:G325" si="4">ROUND(F262,0)</f>
        <v>-49600</v>
      </c>
      <c r="H262" s="15"/>
    </row>
    <row r="263" spans="1:8">
      <c r="A263" s="39" t="s">
        <v>703</v>
      </c>
      <c r="B263" s="39" t="s">
        <v>704</v>
      </c>
      <c r="C263" s="39" t="s">
        <v>156</v>
      </c>
      <c r="D263" s="39" t="s">
        <v>162</v>
      </c>
      <c r="E263" s="39" t="s">
        <v>100</v>
      </c>
      <c r="F263" s="33">
        <v>0</v>
      </c>
      <c r="G263" s="15">
        <f t="shared" si="4"/>
        <v>0</v>
      </c>
      <c r="H263" s="15"/>
    </row>
    <row r="264" spans="1:8">
      <c r="A264" s="39" t="s">
        <v>705</v>
      </c>
      <c r="B264" s="39" t="s">
        <v>664</v>
      </c>
      <c r="C264" s="39" t="s">
        <v>156</v>
      </c>
      <c r="D264" s="39" t="s">
        <v>162</v>
      </c>
      <c r="E264" s="39" t="s">
        <v>100</v>
      </c>
      <c r="F264" s="33">
        <v>32505</v>
      </c>
      <c r="G264" s="15">
        <f t="shared" si="4"/>
        <v>32505</v>
      </c>
      <c r="H264" s="15"/>
    </row>
    <row r="265" spans="1:8">
      <c r="A265" s="39" t="s">
        <v>706</v>
      </c>
      <c r="B265" s="39" t="s">
        <v>707</v>
      </c>
      <c r="C265" s="39" t="s">
        <v>156</v>
      </c>
      <c r="D265" s="39" t="s">
        <v>162</v>
      </c>
      <c r="E265" s="39" t="s">
        <v>100</v>
      </c>
      <c r="F265" s="33">
        <v>7950</v>
      </c>
      <c r="G265" s="15">
        <f t="shared" si="4"/>
        <v>7950</v>
      </c>
      <c r="H265" s="15"/>
    </row>
    <row r="266" spans="1:8">
      <c r="A266" s="39" t="s">
        <v>708</v>
      </c>
      <c r="B266" s="39" t="s">
        <v>709</v>
      </c>
      <c r="C266" s="39" t="s">
        <v>156</v>
      </c>
      <c r="D266" s="39" t="s">
        <v>162</v>
      </c>
      <c r="E266" s="39" t="s">
        <v>100</v>
      </c>
      <c r="F266" s="33">
        <v>3245.14</v>
      </c>
      <c r="G266" s="15">
        <f t="shared" si="4"/>
        <v>3245</v>
      </c>
      <c r="H266" s="15"/>
    </row>
    <row r="267" spans="1:8">
      <c r="A267" s="39" t="s">
        <v>710</v>
      </c>
      <c r="B267" s="39" t="s">
        <v>711</v>
      </c>
      <c r="C267" s="39" t="s">
        <v>156</v>
      </c>
      <c r="D267" s="39" t="s">
        <v>162</v>
      </c>
      <c r="E267" s="39" t="s">
        <v>100</v>
      </c>
      <c r="F267" s="33">
        <v>12526.05</v>
      </c>
      <c r="G267" s="15">
        <f t="shared" si="4"/>
        <v>12526</v>
      </c>
      <c r="H267" s="15"/>
    </row>
    <row r="268" spans="1:8">
      <c r="A268" s="39" t="s">
        <v>712</v>
      </c>
      <c r="B268" s="39" t="s">
        <v>713</v>
      </c>
      <c r="C268" s="39" t="s">
        <v>156</v>
      </c>
      <c r="D268" s="39" t="s">
        <v>169</v>
      </c>
      <c r="E268" s="39" t="s">
        <v>714</v>
      </c>
      <c r="F268" s="33">
        <v>6626.19</v>
      </c>
      <c r="G268" s="15">
        <f t="shared" si="4"/>
        <v>6626</v>
      </c>
      <c r="H268" s="15"/>
    </row>
    <row r="269" spans="1:8">
      <c r="A269" s="39" t="s">
        <v>715</v>
      </c>
      <c r="B269" s="39" t="s">
        <v>716</v>
      </c>
      <c r="C269" s="39" t="s">
        <v>156</v>
      </c>
      <c r="D269" s="39" t="s">
        <v>169</v>
      </c>
      <c r="E269" s="39" t="s">
        <v>717</v>
      </c>
      <c r="F269" s="33">
        <v>776841.21</v>
      </c>
      <c r="G269" s="15">
        <f t="shared" si="4"/>
        <v>776841</v>
      </c>
      <c r="H269" s="15"/>
    </row>
    <row r="270" spans="1:8">
      <c r="A270" s="39" t="s">
        <v>718</v>
      </c>
      <c r="B270" s="39" t="s">
        <v>719</v>
      </c>
      <c r="C270" s="39" t="s">
        <v>156</v>
      </c>
      <c r="D270" s="39" t="s">
        <v>157</v>
      </c>
      <c r="E270" s="39" t="s">
        <v>100</v>
      </c>
      <c r="F270" s="33">
        <v>0</v>
      </c>
      <c r="G270" s="15">
        <f t="shared" si="4"/>
        <v>0</v>
      </c>
      <c r="H270" s="15"/>
    </row>
    <row r="271" spans="1:8">
      <c r="A271" s="39" t="s">
        <v>720</v>
      </c>
      <c r="B271" s="39" t="s">
        <v>721</v>
      </c>
      <c r="C271" s="39" t="s">
        <v>156</v>
      </c>
      <c r="D271" s="39" t="s">
        <v>157</v>
      </c>
      <c r="E271" s="39" t="s">
        <v>100</v>
      </c>
      <c r="F271" s="33">
        <v>0</v>
      </c>
      <c r="G271" s="15">
        <f t="shared" si="4"/>
        <v>0</v>
      </c>
      <c r="H271" s="15"/>
    </row>
    <row r="272" spans="1:8">
      <c r="A272" s="39" t="s">
        <v>722</v>
      </c>
      <c r="B272" s="39" t="s">
        <v>723</v>
      </c>
      <c r="C272" s="39" t="s">
        <v>156</v>
      </c>
      <c r="D272" s="39" t="s">
        <v>162</v>
      </c>
      <c r="E272" s="39" t="s">
        <v>100</v>
      </c>
      <c r="F272" s="33">
        <v>-67022.67</v>
      </c>
      <c r="G272" s="41">
        <f t="shared" si="4"/>
        <v>-67023</v>
      </c>
      <c r="H272" s="41"/>
    </row>
    <row r="273" spans="1:8">
      <c r="A273" s="39" t="s">
        <v>724</v>
      </c>
      <c r="B273" s="39" t="s">
        <v>725</v>
      </c>
      <c r="C273" s="39" t="s">
        <v>872</v>
      </c>
      <c r="D273" s="39" t="s">
        <v>162</v>
      </c>
      <c r="E273" s="39" t="s">
        <v>100</v>
      </c>
      <c r="F273" s="33">
        <v>-84080.6</v>
      </c>
      <c r="G273" s="15">
        <f t="shared" si="4"/>
        <v>-84081</v>
      </c>
      <c r="H273" s="15"/>
    </row>
    <row r="274" spans="1:8">
      <c r="A274" s="39" t="s">
        <v>726</v>
      </c>
      <c r="B274" s="39" t="s">
        <v>757</v>
      </c>
      <c r="C274" s="39" t="s">
        <v>156</v>
      </c>
      <c r="D274" s="39" t="s">
        <v>162</v>
      </c>
      <c r="E274" s="39" t="s">
        <v>100</v>
      </c>
      <c r="F274" s="33">
        <v>-35164.800000000003</v>
      </c>
      <c r="G274" s="15">
        <f t="shared" si="4"/>
        <v>-35165</v>
      </c>
      <c r="H274" s="15"/>
    </row>
    <row r="275" spans="1:8">
      <c r="A275" s="39" t="s">
        <v>728</v>
      </c>
      <c r="B275" s="39" t="s">
        <v>2276</v>
      </c>
      <c r="C275" s="39" t="s">
        <v>156</v>
      </c>
      <c r="D275" s="39" t="s">
        <v>162</v>
      </c>
      <c r="E275" s="39" t="s">
        <v>100</v>
      </c>
      <c r="F275" s="33">
        <v>0</v>
      </c>
      <c r="G275" s="15">
        <f t="shared" si="4"/>
        <v>0</v>
      </c>
      <c r="H275" s="15"/>
    </row>
    <row r="276" spans="1:8">
      <c r="A276" s="39" t="s">
        <v>730</v>
      </c>
      <c r="B276" s="39" t="s">
        <v>731</v>
      </c>
      <c r="C276" s="39" t="s">
        <v>156</v>
      </c>
      <c r="D276" s="39" t="s">
        <v>162</v>
      </c>
      <c r="E276" s="39" t="s">
        <v>100</v>
      </c>
      <c r="F276" s="33">
        <v>46369.43</v>
      </c>
      <c r="G276" s="41">
        <f t="shared" si="4"/>
        <v>46369</v>
      </c>
      <c r="H276" s="41"/>
    </row>
    <row r="277" spans="1:8">
      <c r="A277" s="39" t="s">
        <v>732</v>
      </c>
      <c r="B277" s="39" t="s">
        <v>733</v>
      </c>
      <c r="C277" s="39" t="s">
        <v>156</v>
      </c>
      <c r="D277" s="39" t="s">
        <v>162</v>
      </c>
      <c r="E277" s="39" t="s">
        <v>100</v>
      </c>
      <c r="F277" s="33">
        <v>902844.9</v>
      </c>
      <c r="G277" s="41">
        <f>ROUND(F277,0)-14000</f>
        <v>888845</v>
      </c>
      <c r="H277" s="41"/>
    </row>
    <row r="278" spans="1:8">
      <c r="A278" s="39" t="s">
        <v>734</v>
      </c>
      <c r="B278" s="39" t="s">
        <v>735</v>
      </c>
      <c r="C278" s="39" t="s">
        <v>156</v>
      </c>
      <c r="D278" s="39" t="s">
        <v>162</v>
      </c>
      <c r="E278" s="39" t="s">
        <v>100</v>
      </c>
      <c r="F278" s="33">
        <v>53227.19</v>
      </c>
      <c r="G278" s="41">
        <f t="shared" si="4"/>
        <v>53227</v>
      </c>
      <c r="H278" s="41"/>
    </row>
    <row r="279" spans="1:8">
      <c r="A279" s="39" t="s">
        <v>736</v>
      </c>
      <c r="B279" s="39" t="s">
        <v>737</v>
      </c>
      <c r="C279" s="39" t="s">
        <v>156</v>
      </c>
      <c r="D279" s="39" t="s">
        <v>162</v>
      </c>
      <c r="E279" s="39" t="s">
        <v>100</v>
      </c>
      <c r="F279" s="33">
        <v>71465.87</v>
      </c>
      <c r="G279" s="41">
        <f t="shared" si="4"/>
        <v>71466</v>
      </c>
      <c r="H279" s="41"/>
    </row>
    <row r="280" spans="1:8">
      <c r="A280" s="39" t="s">
        <v>738</v>
      </c>
      <c r="B280" s="39" t="s">
        <v>739</v>
      </c>
      <c r="C280" s="39" t="s">
        <v>156</v>
      </c>
      <c r="D280" s="39" t="s">
        <v>162</v>
      </c>
      <c r="E280" s="39" t="s">
        <v>100</v>
      </c>
      <c r="F280" s="33">
        <v>330</v>
      </c>
      <c r="G280" s="41">
        <f t="shared" si="4"/>
        <v>330</v>
      </c>
      <c r="H280" s="41"/>
    </row>
    <row r="281" spans="1:8">
      <c r="A281" s="39" t="s">
        <v>740</v>
      </c>
      <c r="B281" s="39" t="s">
        <v>741</v>
      </c>
      <c r="C281" s="39" t="s">
        <v>156</v>
      </c>
      <c r="D281" s="39" t="s">
        <v>162</v>
      </c>
      <c r="E281" s="39" t="s">
        <v>100</v>
      </c>
      <c r="F281" s="33">
        <v>30668.77</v>
      </c>
      <c r="G281" s="41">
        <f t="shared" si="4"/>
        <v>30669</v>
      </c>
      <c r="H281" s="41"/>
    </row>
    <row r="282" spans="1:8">
      <c r="A282" s="39" t="s">
        <v>742</v>
      </c>
      <c r="B282" s="39" t="s">
        <v>743</v>
      </c>
      <c r="C282" s="39" t="s">
        <v>156</v>
      </c>
      <c r="D282" s="39" t="s">
        <v>162</v>
      </c>
      <c r="E282" s="39" t="s">
        <v>100</v>
      </c>
      <c r="F282" s="33">
        <v>6061.25</v>
      </c>
      <c r="G282" s="41">
        <f t="shared" si="4"/>
        <v>6061</v>
      </c>
      <c r="H282" s="41"/>
    </row>
    <row r="283" spans="1:8">
      <c r="A283" s="39" t="s">
        <v>744</v>
      </c>
      <c r="B283" s="39" t="s">
        <v>2302</v>
      </c>
      <c r="C283" s="39" t="s">
        <v>156</v>
      </c>
      <c r="D283" s="39" t="s">
        <v>162</v>
      </c>
      <c r="E283" s="39" t="s">
        <v>100</v>
      </c>
      <c r="F283" s="33">
        <v>186946.15</v>
      </c>
      <c r="G283" s="41">
        <f t="shared" si="4"/>
        <v>186946</v>
      </c>
      <c r="H283" s="41">
        <v>-87771.19</v>
      </c>
    </row>
    <row r="284" spans="1:8">
      <c r="A284" s="39" t="s">
        <v>745</v>
      </c>
      <c r="B284" s="39" t="s">
        <v>2200</v>
      </c>
      <c r="C284" s="39" t="s">
        <v>156</v>
      </c>
      <c r="D284" s="39" t="s">
        <v>162</v>
      </c>
      <c r="E284" s="39" t="s">
        <v>100</v>
      </c>
      <c r="F284" s="33">
        <v>0</v>
      </c>
      <c r="G284" s="15">
        <f t="shared" si="4"/>
        <v>0</v>
      </c>
      <c r="H284" s="15"/>
    </row>
    <row r="285" spans="1:8">
      <c r="A285" s="39" t="s">
        <v>747</v>
      </c>
      <c r="B285" s="39" t="s">
        <v>748</v>
      </c>
      <c r="C285" s="39" t="s">
        <v>156</v>
      </c>
      <c r="D285" s="39" t="s">
        <v>162</v>
      </c>
      <c r="E285" s="39" t="s">
        <v>100</v>
      </c>
      <c r="F285" s="33">
        <v>186500</v>
      </c>
      <c r="G285" s="41">
        <f t="shared" si="4"/>
        <v>186500</v>
      </c>
      <c r="H285" s="41">
        <f>10625+100000-50000</f>
        <v>60625</v>
      </c>
    </row>
    <row r="286" spans="1:8">
      <c r="A286" s="39" t="s">
        <v>749</v>
      </c>
      <c r="B286" s="39" t="s">
        <v>2201</v>
      </c>
      <c r="C286" s="39" t="s">
        <v>156</v>
      </c>
      <c r="D286" s="39" t="s">
        <v>162</v>
      </c>
      <c r="E286" s="39" t="s">
        <v>100</v>
      </c>
      <c r="F286" s="33">
        <v>-51995.56</v>
      </c>
      <c r="G286" s="41">
        <f t="shared" si="4"/>
        <v>-51996</v>
      </c>
      <c r="H286" s="41"/>
    </row>
    <row r="287" spans="1:8">
      <c r="A287" s="39" t="s">
        <v>751</v>
      </c>
      <c r="B287" s="39" t="s">
        <v>752</v>
      </c>
      <c r="C287" s="39" t="s">
        <v>156</v>
      </c>
      <c r="D287" s="39" t="s">
        <v>162</v>
      </c>
      <c r="E287" s="39" t="s">
        <v>100</v>
      </c>
      <c r="F287" s="33">
        <v>7512.5</v>
      </c>
      <c r="G287" s="41">
        <f t="shared" si="4"/>
        <v>7513</v>
      </c>
      <c r="H287" s="41"/>
    </row>
    <row r="288" spans="1:8">
      <c r="A288" s="39" t="s">
        <v>753</v>
      </c>
      <c r="B288" s="39" t="s">
        <v>220</v>
      </c>
      <c r="C288" s="39" t="s">
        <v>156</v>
      </c>
      <c r="D288" s="39" t="s">
        <v>162</v>
      </c>
      <c r="E288" s="39" t="s">
        <v>100</v>
      </c>
      <c r="F288" s="33">
        <v>52824.11</v>
      </c>
      <c r="G288" s="15">
        <f t="shared" si="4"/>
        <v>52824</v>
      </c>
      <c r="H288" s="15"/>
    </row>
    <row r="289" spans="1:8">
      <c r="A289" s="39" t="s">
        <v>754</v>
      </c>
      <c r="B289" s="39" t="s">
        <v>755</v>
      </c>
      <c r="C289" s="39" t="s">
        <v>156</v>
      </c>
      <c r="D289" s="39" t="s">
        <v>162</v>
      </c>
      <c r="E289" s="39" t="s">
        <v>100</v>
      </c>
      <c r="F289" s="33">
        <v>-10.58</v>
      </c>
      <c r="G289" s="15">
        <f t="shared" si="4"/>
        <v>-11</v>
      </c>
      <c r="H289" s="15"/>
    </row>
    <row r="290" spans="1:8">
      <c r="A290" s="39" t="s">
        <v>756</v>
      </c>
      <c r="B290" s="39" t="s">
        <v>1533</v>
      </c>
      <c r="C290" s="39" t="s">
        <v>156</v>
      </c>
      <c r="D290" s="39" t="s">
        <v>162</v>
      </c>
      <c r="E290" s="39" t="s">
        <v>100</v>
      </c>
      <c r="F290" s="33">
        <v>6480</v>
      </c>
      <c r="G290" s="15">
        <f t="shared" si="4"/>
        <v>6480</v>
      </c>
      <c r="H290" s="15"/>
    </row>
    <row r="291" spans="1:8">
      <c r="A291" s="39" t="s">
        <v>758</v>
      </c>
      <c r="B291" s="39" t="s">
        <v>759</v>
      </c>
      <c r="C291" s="39" t="s">
        <v>156</v>
      </c>
      <c r="D291" s="39" t="s">
        <v>169</v>
      </c>
      <c r="E291" s="39" t="s">
        <v>760</v>
      </c>
      <c r="F291" s="33">
        <v>1312955.96</v>
      </c>
      <c r="G291" s="15">
        <f>ROUND(F291,0)-14000</f>
        <v>1298956</v>
      </c>
      <c r="H291" s="15"/>
    </row>
    <row r="292" spans="1:8">
      <c r="A292" s="39" t="s">
        <v>761</v>
      </c>
      <c r="B292" s="39" t="s">
        <v>762</v>
      </c>
      <c r="C292" s="39" t="s">
        <v>156</v>
      </c>
      <c r="D292" s="39" t="s">
        <v>157</v>
      </c>
      <c r="E292" s="39" t="s">
        <v>100</v>
      </c>
      <c r="F292" s="33">
        <v>0</v>
      </c>
      <c r="G292" s="15">
        <f t="shared" si="4"/>
        <v>0</v>
      </c>
      <c r="H292" s="15"/>
    </row>
    <row r="293" spans="1:8">
      <c r="A293" s="39" t="s">
        <v>763</v>
      </c>
      <c r="B293" s="39" t="s">
        <v>764</v>
      </c>
      <c r="C293" s="39" t="s">
        <v>156</v>
      </c>
      <c r="D293" s="39" t="s">
        <v>162</v>
      </c>
      <c r="E293" s="39" t="s">
        <v>100</v>
      </c>
      <c r="F293" s="33">
        <v>93640.75</v>
      </c>
      <c r="G293" s="15">
        <f t="shared" si="4"/>
        <v>93641</v>
      </c>
      <c r="H293" s="15"/>
    </row>
    <row r="294" spans="1:8">
      <c r="A294" s="39" t="s">
        <v>765</v>
      </c>
      <c r="B294" s="39" t="s">
        <v>766</v>
      </c>
      <c r="C294" s="39" t="s">
        <v>156</v>
      </c>
      <c r="D294" s="39" t="s">
        <v>162</v>
      </c>
      <c r="E294" s="39" t="s">
        <v>100</v>
      </c>
      <c r="F294" s="33">
        <v>65670.75</v>
      </c>
      <c r="G294" s="15">
        <f t="shared" si="4"/>
        <v>65671</v>
      </c>
      <c r="H294" s="15"/>
    </row>
    <row r="295" spans="1:8">
      <c r="A295" s="39" t="s">
        <v>767</v>
      </c>
      <c r="B295" s="39" t="s">
        <v>768</v>
      </c>
      <c r="C295" s="39" t="s">
        <v>156</v>
      </c>
      <c r="D295" s="39" t="s">
        <v>162</v>
      </c>
      <c r="E295" s="39" t="s">
        <v>100</v>
      </c>
      <c r="F295" s="33">
        <v>78557.3</v>
      </c>
      <c r="G295" s="15">
        <f t="shared" si="4"/>
        <v>78557</v>
      </c>
      <c r="H295" s="15"/>
    </row>
    <row r="296" spans="1:8">
      <c r="A296" s="39" t="s">
        <v>769</v>
      </c>
      <c r="B296" s="39" t="s">
        <v>770</v>
      </c>
      <c r="C296" s="39" t="s">
        <v>156</v>
      </c>
      <c r="D296" s="39" t="s">
        <v>162</v>
      </c>
      <c r="E296" s="39" t="s">
        <v>100</v>
      </c>
      <c r="F296" s="33">
        <v>21734.03</v>
      </c>
      <c r="G296" s="15">
        <f t="shared" si="4"/>
        <v>21734</v>
      </c>
      <c r="H296" s="15"/>
    </row>
    <row r="297" spans="1:8">
      <c r="A297" s="39" t="s">
        <v>771</v>
      </c>
      <c r="B297" s="39" t="s">
        <v>2277</v>
      </c>
      <c r="C297" s="39" t="s">
        <v>156</v>
      </c>
      <c r="D297" s="39" t="s">
        <v>162</v>
      </c>
      <c r="E297" s="39" t="s">
        <v>100</v>
      </c>
      <c r="F297" s="33">
        <v>0</v>
      </c>
      <c r="G297" s="15">
        <f t="shared" si="4"/>
        <v>0</v>
      </c>
      <c r="H297" s="15"/>
    </row>
    <row r="298" spans="1:8">
      <c r="A298" s="39" t="s">
        <v>773</v>
      </c>
      <c r="B298" s="39" t="s">
        <v>774</v>
      </c>
      <c r="C298" s="39" t="s">
        <v>156</v>
      </c>
      <c r="D298" s="39" t="s">
        <v>162</v>
      </c>
      <c r="E298" s="39" t="s">
        <v>100</v>
      </c>
      <c r="F298" s="33">
        <v>0</v>
      </c>
      <c r="G298" s="15">
        <f t="shared" si="4"/>
        <v>0</v>
      </c>
      <c r="H298" s="15"/>
    </row>
    <row r="299" spans="1:8">
      <c r="A299" s="39" t="s">
        <v>775</v>
      </c>
      <c r="B299" s="39" t="s">
        <v>776</v>
      </c>
      <c r="C299" s="39" t="s">
        <v>156</v>
      </c>
      <c r="D299" s="39" t="s">
        <v>169</v>
      </c>
      <c r="E299" s="39" t="s">
        <v>777</v>
      </c>
      <c r="F299" s="33">
        <v>259602.83</v>
      </c>
      <c r="G299" s="15">
        <f t="shared" si="4"/>
        <v>259603</v>
      </c>
      <c r="H299" s="15"/>
    </row>
    <row r="300" spans="1:8">
      <c r="A300" s="39" t="s">
        <v>778</v>
      </c>
      <c r="B300" s="39" t="s">
        <v>779</v>
      </c>
      <c r="C300" s="39" t="s">
        <v>156</v>
      </c>
      <c r="D300" s="39" t="s">
        <v>157</v>
      </c>
      <c r="E300" s="39" t="s">
        <v>100</v>
      </c>
      <c r="F300" s="33">
        <v>0</v>
      </c>
      <c r="G300" s="15">
        <f t="shared" si="4"/>
        <v>0</v>
      </c>
      <c r="H300" s="15"/>
    </row>
    <row r="301" spans="1:8">
      <c r="A301" s="39" t="s">
        <v>780</v>
      </c>
      <c r="B301" s="39" t="s">
        <v>781</v>
      </c>
      <c r="C301" s="39" t="s">
        <v>156</v>
      </c>
      <c r="D301" s="39" t="s">
        <v>162</v>
      </c>
      <c r="E301" s="39" t="s">
        <v>100</v>
      </c>
      <c r="F301" s="33">
        <v>141949.5</v>
      </c>
      <c r="G301" s="15">
        <f t="shared" si="4"/>
        <v>141950</v>
      </c>
      <c r="H301" s="15"/>
    </row>
    <row r="302" spans="1:8">
      <c r="A302" s="39" t="s">
        <v>782</v>
      </c>
      <c r="B302" s="39" t="s">
        <v>446</v>
      </c>
      <c r="C302" s="39" t="s">
        <v>156</v>
      </c>
      <c r="D302" s="39" t="s">
        <v>162</v>
      </c>
      <c r="E302" s="39" t="s">
        <v>100</v>
      </c>
      <c r="F302" s="33">
        <v>65008</v>
      </c>
      <c r="G302" s="15">
        <f t="shared" si="4"/>
        <v>65008</v>
      </c>
      <c r="H302" s="15"/>
    </row>
    <row r="303" spans="1:8">
      <c r="A303" s="39" t="s">
        <v>783</v>
      </c>
      <c r="B303" s="39" t="s">
        <v>784</v>
      </c>
      <c r="C303" s="39" t="s">
        <v>156</v>
      </c>
      <c r="D303" s="39" t="s">
        <v>162</v>
      </c>
      <c r="E303" s="39" t="s">
        <v>100</v>
      </c>
      <c r="F303" s="33">
        <v>0</v>
      </c>
      <c r="G303" s="15">
        <f t="shared" si="4"/>
        <v>0</v>
      </c>
      <c r="H303" s="15"/>
    </row>
    <row r="304" spans="1:8">
      <c r="A304" s="39" t="s">
        <v>785</v>
      </c>
      <c r="B304" s="39" t="s">
        <v>786</v>
      </c>
      <c r="C304" s="39" t="s">
        <v>156</v>
      </c>
      <c r="D304" s="39" t="s">
        <v>169</v>
      </c>
      <c r="E304" s="39" t="s">
        <v>787</v>
      </c>
      <c r="F304" s="33">
        <v>206957.5</v>
      </c>
      <c r="G304" s="15">
        <f t="shared" si="4"/>
        <v>206958</v>
      </c>
      <c r="H304" s="15"/>
    </row>
    <row r="305" spans="1:8">
      <c r="A305" s="39" t="s">
        <v>788</v>
      </c>
      <c r="B305" s="39" t="s">
        <v>817</v>
      </c>
      <c r="C305" s="39" t="s">
        <v>156</v>
      </c>
      <c r="D305" s="39" t="s">
        <v>157</v>
      </c>
      <c r="E305" s="39" t="s">
        <v>100</v>
      </c>
      <c r="F305" s="33">
        <v>0</v>
      </c>
      <c r="G305" s="15">
        <f t="shared" si="4"/>
        <v>0</v>
      </c>
      <c r="H305" s="15"/>
    </row>
    <row r="306" spans="1:8">
      <c r="A306" s="39" t="s">
        <v>2258</v>
      </c>
      <c r="B306" s="39" t="s">
        <v>819</v>
      </c>
      <c r="C306" s="39" t="s">
        <v>156</v>
      </c>
      <c r="D306" s="39" t="s">
        <v>162</v>
      </c>
      <c r="E306" s="39" t="s">
        <v>100</v>
      </c>
      <c r="F306" s="33">
        <v>10625</v>
      </c>
      <c r="G306" s="15">
        <f>ROUND(F306,0)+50000</f>
        <v>60625</v>
      </c>
      <c r="H306" s="15">
        <v>-10625</v>
      </c>
    </row>
    <row r="307" spans="1:8">
      <c r="A307" s="39" t="s">
        <v>2259</v>
      </c>
      <c r="B307" s="39" t="s">
        <v>821</v>
      </c>
      <c r="C307" s="39" t="s">
        <v>156</v>
      </c>
      <c r="D307" s="39" t="s">
        <v>169</v>
      </c>
      <c r="E307" s="39" t="s">
        <v>2260</v>
      </c>
      <c r="F307" s="33">
        <v>10625</v>
      </c>
      <c r="G307" s="15">
        <f>ROUND(F307,0)+50000</f>
        <v>60625</v>
      </c>
      <c r="H307" s="15"/>
    </row>
    <row r="308" spans="1:8">
      <c r="A308" s="39" t="s">
        <v>790</v>
      </c>
      <c r="B308" s="39" t="s">
        <v>824</v>
      </c>
      <c r="C308" s="39" t="s">
        <v>156</v>
      </c>
      <c r="D308" s="39" t="s">
        <v>157</v>
      </c>
      <c r="E308" s="39" t="s">
        <v>100</v>
      </c>
      <c r="F308" s="33">
        <v>0</v>
      </c>
      <c r="G308" s="15">
        <f t="shared" si="4"/>
        <v>0</v>
      </c>
      <c r="H308" s="15"/>
    </row>
    <row r="309" spans="1:8">
      <c r="A309" s="39" t="s">
        <v>791</v>
      </c>
      <c r="B309" s="39" t="s">
        <v>826</v>
      </c>
      <c r="C309" s="39" t="s">
        <v>156</v>
      </c>
      <c r="D309" s="39" t="s">
        <v>162</v>
      </c>
      <c r="E309" s="39" t="s">
        <v>100</v>
      </c>
      <c r="F309" s="33">
        <v>65524.41</v>
      </c>
      <c r="G309" s="15">
        <f>ROUND(F309,0)-50000</f>
        <v>15524</v>
      </c>
      <c r="H309" s="15"/>
    </row>
    <row r="310" spans="1:8">
      <c r="A310" s="39" t="s">
        <v>805</v>
      </c>
      <c r="B310" s="39" t="s">
        <v>828</v>
      </c>
      <c r="C310" s="39" t="s">
        <v>156</v>
      </c>
      <c r="D310" s="39" t="s">
        <v>169</v>
      </c>
      <c r="E310" s="39" t="s">
        <v>807</v>
      </c>
      <c r="F310" s="33">
        <v>65524.41</v>
      </c>
      <c r="G310" s="15">
        <f>ROUND(F310,0)-50000</f>
        <v>15524</v>
      </c>
      <c r="H310" s="15"/>
    </row>
    <row r="311" spans="1:8">
      <c r="A311" s="39" t="s">
        <v>830</v>
      </c>
      <c r="B311" s="39" t="s">
        <v>831</v>
      </c>
      <c r="C311" s="39" t="s">
        <v>156</v>
      </c>
      <c r="D311" s="39" t="s">
        <v>169</v>
      </c>
      <c r="E311" s="39" t="s">
        <v>832</v>
      </c>
      <c r="F311" s="33">
        <v>1855665.7</v>
      </c>
      <c r="G311" s="15">
        <f t="shared" si="4"/>
        <v>1855666</v>
      </c>
      <c r="H311" s="15"/>
    </row>
    <row r="312" spans="1:8">
      <c r="A312" s="39" t="s">
        <v>841</v>
      </c>
      <c r="B312" s="39" t="s">
        <v>842</v>
      </c>
      <c r="C312" s="39" t="s">
        <v>156</v>
      </c>
      <c r="D312" s="39" t="s">
        <v>169</v>
      </c>
      <c r="E312" s="39" t="s">
        <v>843</v>
      </c>
      <c r="F312" s="33">
        <v>16152114.58</v>
      </c>
      <c r="G312" s="15">
        <f t="shared" si="4"/>
        <v>16152115</v>
      </c>
      <c r="H312" s="15"/>
    </row>
    <row r="313" spans="1:8">
      <c r="A313" s="39" t="s">
        <v>2261</v>
      </c>
      <c r="B313" s="39" t="s">
        <v>2262</v>
      </c>
      <c r="C313" s="39" t="s">
        <v>156</v>
      </c>
      <c r="D313" s="39" t="s">
        <v>169</v>
      </c>
      <c r="E313" s="39" t="s">
        <v>2263</v>
      </c>
      <c r="F313" s="33">
        <v>16152114.58</v>
      </c>
      <c r="G313" s="15">
        <f t="shared" si="4"/>
        <v>16152115</v>
      </c>
      <c r="H313" s="15"/>
    </row>
    <row r="314" spans="1:8">
      <c r="A314" s="39" t="s">
        <v>844</v>
      </c>
      <c r="B314" s="39" t="s">
        <v>845</v>
      </c>
      <c r="C314" s="39" t="s">
        <v>156</v>
      </c>
      <c r="D314" s="39" t="s">
        <v>157</v>
      </c>
      <c r="E314" s="39" t="s">
        <v>100</v>
      </c>
      <c r="F314" s="33">
        <v>0</v>
      </c>
      <c r="G314" s="15">
        <f t="shared" si="4"/>
        <v>0</v>
      </c>
      <c r="H314" s="15"/>
    </row>
    <row r="315" spans="1:8">
      <c r="A315" s="39" t="s">
        <v>846</v>
      </c>
      <c r="B315" s="39" t="s">
        <v>847</v>
      </c>
      <c r="C315" s="39" t="s">
        <v>156</v>
      </c>
      <c r="D315" s="39" t="s">
        <v>162</v>
      </c>
      <c r="E315" s="39" t="s">
        <v>100</v>
      </c>
      <c r="F315" s="33">
        <v>132015.93</v>
      </c>
      <c r="G315" s="15">
        <f t="shared" si="4"/>
        <v>132016</v>
      </c>
      <c r="H315" s="15">
        <v>-156704</v>
      </c>
    </row>
    <row r="316" spans="1:8">
      <c r="A316" s="39" t="s">
        <v>848</v>
      </c>
      <c r="B316" s="39" t="s">
        <v>849</v>
      </c>
      <c r="C316" s="39" t="s">
        <v>156</v>
      </c>
      <c r="D316" s="39" t="s">
        <v>162</v>
      </c>
      <c r="E316" s="39" t="s">
        <v>100</v>
      </c>
      <c r="F316" s="33">
        <v>0</v>
      </c>
      <c r="G316" s="15">
        <f t="shared" si="4"/>
        <v>0</v>
      </c>
      <c r="H316" s="15"/>
    </row>
    <row r="317" spans="1:8">
      <c r="A317" s="39" t="s">
        <v>850</v>
      </c>
      <c r="B317" s="39" t="s">
        <v>851</v>
      </c>
      <c r="C317" s="39" t="s">
        <v>156</v>
      </c>
      <c r="D317" s="39" t="s">
        <v>169</v>
      </c>
      <c r="E317" s="39" t="s">
        <v>852</v>
      </c>
      <c r="F317" s="33">
        <v>132015.93</v>
      </c>
      <c r="G317" s="15">
        <f t="shared" si="4"/>
        <v>132016</v>
      </c>
      <c r="H317" s="15"/>
    </row>
    <row r="318" spans="1:8">
      <c r="A318" s="39" t="s">
        <v>853</v>
      </c>
      <c r="B318" s="39" t="s">
        <v>854</v>
      </c>
      <c r="C318" s="39" t="s">
        <v>156</v>
      </c>
      <c r="D318" s="39" t="s">
        <v>157</v>
      </c>
      <c r="E318" s="39" t="s">
        <v>100</v>
      </c>
      <c r="F318" s="33">
        <v>0</v>
      </c>
      <c r="G318" s="15">
        <f t="shared" si="4"/>
        <v>0</v>
      </c>
      <c r="H318" s="15"/>
    </row>
    <row r="319" spans="1:8">
      <c r="A319" s="39" t="s">
        <v>855</v>
      </c>
      <c r="B319" s="39" t="s">
        <v>856</v>
      </c>
      <c r="C319" s="39" t="s">
        <v>156</v>
      </c>
      <c r="D319" s="39" t="s">
        <v>162</v>
      </c>
      <c r="E319" s="39" t="s">
        <v>100</v>
      </c>
      <c r="F319" s="33">
        <v>0</v>
      </c>
      <c r="G319" s="15">
        <f t="shared" si="4"/>
        <v>0</v>
      </c>
      <c r="H319" s="15"/>
    </row>
    <row r="320" spans="1:8">
      <c r="A320" s="39" t="s">
        <v>857</v>
      </c>
      <c r="B320" s="39" t="s">
        <v>2170</v>
      </c>
      <c r="C320" s="39" t="s">
        <v>156</v>
      </c>
      <c r="D320" s="39" t="s">
        <v>162</v>
      </c>
      <c r="E320" s="39" t="s">
        <v>100</v>
      </c>
      <c r="F320" s="33">
        <v>0</v>
      </c>
      <c r="G320" s="15">
        <f t="shared" si="4"/>
        <v>0</v>
      </c>
      <c r="H320" s="15"/>
    </row>
    <row r="321" spans="1:8">
      <c r="A321" s="39" t="s">
        <v>859</v>
      </c>
      <c r="B321" s="39" t="s">
        <v>860</v>
      </c>
      <c r="C321" s="39" t="s">
        <v>156</v>
      </c>
      <c r="D321" s="39" t="s">
        <v>162</v>
      </c>
      <c r="E321" s="39" t="s">
        <v>100</v>
      </c>
      <c r="F321" s="33">
        <v>0</v>
      </c>
      <c r="G321" s="15">
        <f t="shared" si="4"/>
        <v>0</v>
      </c>
      <c r="H321" s="15"/>
    </row>
    <row r="322" spans="1:8">
      <c r="A322" s="39" t="s">
        <v>2264</v>
      </c>
      <c r="B322" s="39" t="s">
        <v>862</v>
      </c>
      <c r="C322" s="39" t="s">
        <v>156</v>
      </c>
      <c r="D322" s="39" t="s">
        <v>169</v>
      </c>
      <c r="E322" s="39" t="s">
        <v>2265</v>
      </c>
      <c r="F322" s="33">
        <v>0</v>
      </c>
      <c r="G322" s="15">
        <f t="shared" si="4"/>
        <v>0</v>
      </c>
      <c r="H322" s="15"/>
    </row>
    <row r="323" spans="1:8">
      <c r="A323" s="39" t="s">
        <v>861</v>
      </c>
      <c r="B323" s="39" t="s">
        <v>862</v>
      </c>
      <c r="C323" s="39" t="s">
        <v>156</v>
      </c>
      <c r="D323" s="39" t="s">
        <v>598</v>
      </c>
      <c r="E323" s="39" t="s">
        <v>863</v>
      </c>
      <c r="F323" s="33">
        <v>132015.93</v>
      </c>
      <c r="G323" s="15">
        <f t="shared" si="4"/>
        <v>132016</v>
      </c>
      <c r="H323" s="15"/>
    </row>
    <row r="324" spans="1:8">
      <c r="A324" s="39" t="s">
        <v>864</v>
      </c>
      <c r="B324" s="39" t="s">
        <v>865</v>
      </c>
      <c r="C324" s="39" t="s">
        <v>156</v>
      </c>
      <c r="D324" s="39" t="s">
        <v>598</v>
      </c>
      <c r="E324" s="39" t="s">
        <v>866</v>
      </c>
      <c r="F324" s="33">
        <v>16284130.51</v>
      </c>
      <c r="G324" s="15">
        <f t="shared" si="4"/>
        <v>16284131</v>
      </c>
      <c r="H324" s="15"/>
    </row>
    <row r="325" spans="1:8">
      <c r="A325" s="39" t="s">
        <v>867</v>
      </c>
      <c r="B325" s="39" t="s">
        <v>868</v>
      </c>
      <c r="C325" s="39" t="s">
        <v>156</v>
      </c>
      <c r="D325" s="39" t="s">
        <v>598</v>
      </c>
      <c r="E325" s="39" t="s">
        <v>869</v>
      </c>
      <c r="F325" s="33">
        <v>435313.56</v>
      </c>
      <c r="G325" s="15">
        <f t="shared" si="4"/>
        <v>435314</v>
      </c>
      <c r="H325" s="15"/>
    </row>
    <row r="326" spans="1:8">
      <c r="A326" s="39" t="s">
        <v>870</v>
      </c>
      <c r="B326" s="39" t="s">
        <v>871</v>
      </c>
      <c r="C326" s="39" t="s">
        <v>872</v>
      </c>
      <c r="D326" s="39" t="s">
        <v>157</v>
      </c>
      <c r="E326" s="39" t="s">
        <v>100</v>
      </c>
      <c r="F326" s="34">
        <v>0</v>
      </c>
      <c r="G326" s="41">
        <f t="shared" ref="G326:G389" si="5">ROUND(F326,0)</f>
        <v>0</v>
      </c>
      <c r="H326" s="41"/>
    </row>
    <row r="327" spans="1:8">
      <c r="A327" s="39" t="s">
        <v>873</v>
      </c>
      <c r="B327" s="39" t="s">
        <v>874</v>
      </c>
      <c r="C327" s="39" t="s">
        <v>872</v>
      </c>
      <c r="D327" s="39" t="s">
        <v>157</v>
      </c>
      <c r="E327" s="39" t="s">
        <v>100</v>
      </c>
      <c r="F327" s="34">
        <v>0</v>
      </c>
      <c r="G327" s="41">
        <f t="shared" si="5"/>
        <v>0</v>
      </c>
      <c r="H327" s="41"/>
    </row>
    <row r="328" spans="1:8">
      <c r="A328" s="39" t="s">
        <v>875</v>
      </c>
      <c r="B328" s="39" t="s">
        <v>876</v>
      </c>
      <c r="C328" s="39" t="s">
        <v>872</v>
      </c>
      <c r="D328" s="39" t="s">
        <v>157</v>
      </c>
      <c r="E328" s="39" t="s">
        <v>100</v>
      </c>
      <c r="F328" s="34">
        <v>0</v>
      </c>
      <c r="G328" s="41">
        <f t="shared" si="5"/>
        <v>0</v>
      </c>
      <c r="H328" s="41"/>
    </row>
    <row r="329" spans="1:8">
      <c r="A329" s="39" t="s">
        <v>877</v>
      </c>
      <c r="B329" s="39" t="s">
        <v>878</v>
      </c>
      <c r="C329" s="39" t="s">
        <v>872</v>
      </c>
      <c r="D329" s="39" t="s">
        <v>162</v>
      </c>
      <c r="E329" s="39" t="s">
        <v>100</v>
      </c>
      <c r="F329" s="34">
        <v>28500000</v>
      </c>
      <c r="G329" s="41">
        <f t="shared" si="5"/>
        <v>28500000</v>
      </c>
      <c r="H329" s="41"/>
    </row>
    <row r="330" spans="1:8">
      <c r="A330" s="39" t="s">
        <v>879</v>
      </c>
      <c r="B330" s="39" t="s">
        <v>880</v>
      </c>
      <c r="C330" s="39" t="s">
        <v>872</v>
      </c>
      <c r="D330" s="39" t="s">
        <v>162</v>
      </c>
      <c r="E330" s="39" t="s">
        <v>100</v>
      </c>
      <c r="F330" s="34">
        <v>20694600</v>
      </c>
      <c r="G330" s="41">
        <f t="shared" si="5"/>
        <v>20694600</v>
      </c>
      <c r="H330" s="41"/>
    </row>
    <row r="331" spans="1:8">
      <c r="A331" s="39" t="s">
        <v>881</v>
      </c>
      <c r="B331" s="39" t="s">
        <v>882</v>
      </c>
      <c r="C331" s="39" t="s">
        <v>872</v>
      </c>
      <c r="D331" s="39" t="s">
        <v>162</v>
      </c>
      <c r="E331" s="39" t="s">
        <v>100</v>
      </c>
      <c r="F331" s="34">
        <v>4050000</v>
      </c>
      <c r="G331" s="41">
        <f t="shared" si="5"/>
        <v>4050000</v>
      </c>
      <c r="H331" s="41"/>
    </row>
    <row r="332" spans="1:8">
      <c r="A332" s="39" t="s">
        <v>883</v>
      </c>
      <c r="B332" s="39" t="s">
        <v>884</v>
      </c>
      <c r="C332" s="39" t="s">
        <v>872</v>
      </c>
      <c r="D332" s="39" t="s">
        <v>162</v>
      </c>
      <c r="E332" s="39" t="s">
        <v>100</v>
      </c>
      <c r="F332" s="34">
        <v>137241</v>
      </c>
      <c r="G332" s="41">
        <f t="shared" si="5"/>
        <v>137241</v>
      </c>
      <c r="H332" s="41"/>
    </row>
    <row r="333" spans="1:8">
      <c r="A333" s="39" t="s">
        <v>885</v>
      </c>
      <c r="B333" s="39" t="s">
        <v>886</v>
      </c>
      <c r="C333" s="39" t="s">
        <v>872</v>
      </c>
      <c r="D333" s="39" t="s">
        <v>162</v>
      </c>
      <c r="E333" s="39" t="s">
        <v>100</v>
      </c>
      <c r="F333" s="34">
        <v>140400</v>
      </c>
      <c r="G333" s="41">
        <f t="shared" si="5"/>
        <v>140400</v>
      </c>
      <c r="H333" s="41"/>
    </row>
    <row r="334" spans="1:8">
      <c r="A334" s="39" t="s">
        <v>887</v>
      </c>
      <c r="B334" s="39" t="s">
        <v>888</v>
      </c>
      <c r="C334" s="39" t="s">
        <v>872</v>
      </c>
      <c r="D334" s="39" t="s">
        <v>162</v>
      </c>
      <c r="E334" s="39" t="s">
        <v>100</v>
      </c>
      <c r="F334" s="34">
        <v>200000</v>
      </c>
      <c r="G334" s="41">
        <f t="shared" si="5"/>
        <v>200000</v>
      </c>
      <c r="H334" s="41"/>
    </row>
    <row r="335" spans="1:8">
      <c r="A335" s="39" t="s">
        <v>889</v>
      </c>
      <c r="B335" s="39" t="s">
        <v>890</v>
      </c>
      <c r="C335" s="39" t="s">
        <v>872</v>
      </c>
      <c r="D335" s="39" t="s">
        <v>169</v>
      </c>
      <c r="E335" s="39" t="s">
        <v>891</v>
      </c>
      <c r="F335" s="34">
        <v>53722241</v>
      </c>
      <c r="G335" s="41">
        <f t="shared" si="5"/>
        <v>53722241</v>
      </c>
      <c r="H335" s="41"/>
    </row>
    <row r="336" spans="1:8">
      <c r="A336" s="39" t="s">
        <v>892</v>
      </c>
      <c r="B336" s="39" t="s">
        <v>893</v>
      </c>
      <c r="C336" s="39" t="s">
        <v>872</v>
      </c>
      <c r="D336" s="39" t="s">
        <v>157</v>
      </c>
      <c r="E336" s="39" t="s">
        <v>100</v>
      </c>
      <c r="F336" s="34">
        <v>0</v>
      </c>
      <c r="G336" s="41">
        <f t="shared" si="5"/>
        <v>0</v>
      </c>
      <c r="H336" s="41"/>
    </row>
    <row r="337" spans="1:9">
      <c r="A337" s="39" t="s">
        <v>894</v>
      </c>
      <c r="B337" s="39" t="s">
        <v>895</v>
      </c>
      <c r="C337" s="39" t="s">
        <v>872</v>
      </c>
      <c r="D337" s="39" t="s">
        <v>162</v>
      </c>
      <c r="E337" s="39" t="s">
        <v>100</v>
      </c>
      <c r="F337" s="34">
        <v>0</v>
      </c>
      <c r="G337" s="41">
        <f t="shared" si="5"/>
        <v>0</v>
      </c>
      <c r="H337" s="41"/>
    </row>
    <row r="338" spans="1:9">
      <c r="A338" s="39" t="s">
        <v>896</v>
      </c>
      <c r="B338" s="39" t="s">
        <v>897</v>
      </c>
      <c r="C338" s="39" t="s">
        <v>872</v>
      </c>
      <c r="D338" s="39" t="s">
        <v>169</v>
      </c>
      <c r="E338" s="39" t="s">
        <v>898</v>
      </c>
      <c r="F338" s="34">
        <v>0</v>
      </c>
      <c r="G338" s="41">
        <f t="shared" si="5"/>
        <v>0</v>
      </c>
      <c r="H338" s="41"/>
    </row>
    <row r="339" spans="1:9">
      <c r="A339" s="39" t="s">
        <v>899</v>
      </c>
      <c r="B339" s="39" t="s">
        <v>900</v>
      </c>
      <c r="C339" s="39" t="s">
        <v>872</v>
      </c>
      <c r="D339" s="39" t="s">
        <v>157</v>
      </c>
      <c r="E339" s="39" t="s">
        <v>100</v>
      </c>
      <c r="F339" s="34">
        <v>0</v>
      </c>
      <c r="G339" s="41">
        <f t="shared" si="5"/>
        <v>0</v>
      </c>
      <c r="H339" s="41"/>
    </row>
    <row r="340" spans="1:9">
      <c r="A340" s="39" t="s">
        <v>901</v>
      </c>
      <c r="B340" s="39" t="s">
        <v>902</v>
      </c>
      <c r="C340" s="39" t="s">
        <v>872</v>
      </c>
      <c r="D340" s="39" t="s">
        <v>162</v>
      </c>
      <c r="E340" s="39" t="s">
        <v>100</v>
      </c>
      <c r="F340" s="34">
        <v>3366400</v>
      </c>
      <c r="G340" s="41">
        <f t="shared" si="5"/>
        <v>3366400</v>
      </c>
      <c r="H340" s="41"/>
    </row>
    <row r="341" spans="1:9">
      <c r="A341" s="39" t="s">
        <v>903</v>
      </c>
      <c r="B341" s="39" t="s">
        <v>2147</v>
      </c>
      <c r="C341" s="39" t="s">
        <v>872</v>
      </c>
      <c r="D341" s="39" t="s">
        <v>162</v>
      </c>
      <c r="E341" s="39" t="s">
        <v>100</v>
      </c>
      <c r="F341" s="34">
        <v>23643.64</v>
      </c>
      <c r="G341" s="41">
        <f t="shared" si="5"/>
        <v>23644</v>
      </c>
      <c r="H341" s="41"/>
    </row>
    <row r="342" spans="1:9">
      <c r="A342" s="39" t="s">
        <v>905</v>
      </c>
      <c r="B342" s="39" t="s">
        <v>906</v>
      </c>
      <c r="C342" s="39" t="s">
        <v>872</v>
      </c>
      <c r="D342" s="39" t="s">
        <v>162</v>
      </c>
      <c r="E342" s="39" t="s">
        <v>100</v>
      </c>
      <c r="F342" s="34">
        <v>8250</v>
      </c>
      <c r="G342" s="41">
        <f t="shared" si="5"/>
        <v>8250</v>
      </c>
      <c r="H342" s="41"/>
    </row>
    <row r="343" spans="1:9">
      <c r="A343" s="39" t="s">
        <v>907</v>
      </c>
      <c r="B343" s="39" t="s">
        <v>908</v>
      </c>
      <c r="C343" s="39" t="s">
        <v>872</v>
      </c>
      <c r="D343" s="39" t="s">
        <v>162</v>
      </c>
      <c r="E343" s="39" t="s">
        <v>100</v>
      </c>
      <c r="F343" s="34">
        <v>3967752</v>
      </c>
      <c r="G343" s="41">
        <f t="shared" si="5"/>
        <v>3967752</v>
      </c>
      <c r="H343" s="41">
        <f>244912.5</f>
        <v>244912.5</v>
      </c>
    </row>
    <row r="344" spans="1:9">
      <c r="A344" s="39" t="s">
        <v>909</v>
      </c>
      <c r="B344" s="39" t="s">
        <v>910</v>
      </c>
      <c r="C344" s="39" t="s">
        <v>872</v>
      </c>
      <c r="D344" s="39" t="s">
        <v>162</v>
      </c>
      <c r="E344" s="39" t="s">
        <v>100</v>
      </c>
      <c r="F344" s="34">
        <v>93909.5</v>
      </c>
      <c r="G344" s="41">
        <f t="shared" si="5"/>
        <v>93910</v>
      </c>
      <c r="H344" s="41">
        <v>10153</v>
      </c>
    </row>
    <row r="345" spans="1:9">
      <c r="A345" s="39" t="s">
        <v>913</v>
      </c>
      <c r="B345" s="39" t="s">
        <v>914</v>
      </c>
      <c r="C345" s="39" t="s">
        <v>872</v>
      </c>
      <c r="D345" s="39" t="s">
        <v>169</v>
      </c>
      <c r="E345" s="39" t="s">
        <v>915</v>
      </c>
      <c r="F345" s="34">
        <v>7459955.1399999997</v>
      </c>
      <c r="G345" s="41">
        <f t="shared" si="5"/>
        <v>7459955</v>
      </c>
      <c r="H345" s="41"/>
    </row>
    <row r="346" spans="1:9">
      <c r="A346" s="39" t="s">
        <v>916</v>
      </c>
      <c r="B346" s="39" t="s">
        <v>917</v>
      </c>
      <c r="C346" s="39" t="s">
        <v>872</v>
      </c>
      <c r="D346" s="39" t="s">
        <v>169</v>
      </c>
      <c r="E346" s="39" t="s">
        <v>918</v>
      </c>
      <c r="F346" s="34">
        <v>61182196.140000001</v>
      </c>
      <c r="G346" s="41">
        <f t="shared" si="5"/>
        <v>61182196</v>
      </c>
      <c r="H346" s="41"/>
    </row>
    <row r="347" spans="1:9">
      <c r="A347" s="39" t="s">
        <v>919</v>
      </c>
      <c r="B347" s="39" t="s">
        <v>920</v>
      </c>
      <c r="C347" s="39" t="s">
        <v>872</v>
      </c>
      <c r="D347" s="39" t="s">
        <v>157</v>
      </c>
      <c r="E347" s="39" t="s">
        <v>100</v>
      </c>
      <c r="F347" s="34">
        <v>0</v>
      </c>
      <c r="G347" s="41">
        <f t="shared" si="5"/>
        <v>0</v>
      </c>
      <c r="H347" s="41"/>
    </row>
    <row r="348" spans="1:9">
      <c r="A348" s="39" t="s">
        <v>921</v>
      </c>
      <c r="B348" s="39" t="s">
        <v>922</v>
      </c>
      <c r="C348" s="39" t="s">
        <v>872</v>
      </c>
      <c r="D348" s="39" t="s">
        <v>157</v>
      </c>
      <c r="E348" s="39" t="s">
        <v>100</v>
      </c>
      <c r="F348" s="34">
        <v>0</v>
      </c>
      <c r="G348" s="41">
        <f t="shared" si="5"/>
        <v>0</v>
      </c>
      <c r="H348" s="41"/>
    </row>
    <row r="349" spans="1:9">
      <c r="A349" s="39" t="s">
        <v>923</v>
      </c>
      <c r="B349" s="39" t="s">
        <v>924</v>
      </c>
      <c r="C349" s="39" t="s">
        <v>872</v>
      </c>
      <c r="D349" s="39" t="s">
        <v>162</v>
      </c>
      <c r="E349" s="39" t="s">
        <v>100</v>
      </c>
      <c r="F349" s="34">
        <v>147976.60999999999</v>
      </c>
      <c r="G349" s="41">
        <f t="shared" si="5"/>
        <v>147977</v>
      </c>
      <c r="H349" s="41">
        <v>18620.45</v>
      </c>
      <c r="I349" t="s">
        <v>2303</v>
      </c>
    </row>
    <row r="350" spans="1:9">
      <c r="A350" s="39" t="s">
        <v>925</v>
      </c>
      <c r="B350" s="39" t="s">
        <v>926</v>
      </c>
      <c r="C350" s="39" t="s">
        <v>872</v>
      </c>
      <c r="D350" s="39" t="s">
        <v>162</v>
      </c>
      <c r="E350" s="39" t="s">
        <v>100</v>
      </c>
      <c r="F350" s="34">
        <v>0</v>
      </c>
      <c r="G350" s="41">
        <f t="shared" si="5"/>
        <v>0</v>
      </c>
      <c r="H350" s="41"/>
    </row>
    <row r="351" spans="1:9">
      <c r="A351" s="39" t="s">
        <v>927</v>
      </c>
      <c r="B351" s="39" t="s">
        <v>928</v>
      </c>
      <c r="C351" s="39" t="s">
        <v>872</v>
      </c>
      <c r="D351" s="39" t="s">
        <v>162</v>
      </c>
      <c r="E351" s="39" t="s">
        <v>100</v>
      </c>
      <c r="F351" s="34">
        <v>0</v>
      </c>
      <c r="G351" s="41">
        <f t="shared" si="5"/>
        <v>0</v>
      </c>
      <c r="H351" s="41"/>
    </row>
    <row r="352" spans="1:9">
      <c r="A352" s="39" t="s">
        <v>929</v>
      </c>
      <c r="B352" s="39" t="s">
        <v>930</v>
      </c>
      <c r="C352" s="39" t="s">
        <v>872</v>
      </c>
      <c r="D352" s="39" t="s">
        <v>162</v>
      </c>
      <c r="E352" s="39" t="s">
        <v>100</v>
      </c>
      <c r="F352" s="34">
        <v>0</v>
      </c>
      <c r="G352" s="41">
        <f t="shared" si="5"/>
        <v>0</v>
      </c>
      <c r="H352" s="41"/>
    </row>
    <row r="353" spans="1:8">
      <c r="A353" s="39" t="s">
        <v>931</v>
      </c>
      <c r="B353" s="39" t="s">
        <v>932</v>
      </c>
      <c r="C353" s="39" t="s">
        <v>872</v>
      </c>
      <c r="D353" s="39" t="s">
        <v>162</v>
      </c>
      <c r="E353" s="39" t="s">
        <v>100</v>
      </c>
      <c r="F353" s="34">
        <v>323313.11</v>
      </c>
      <c r="G353" s="41">
        <f t="shared" si="5"/>
        <v>323313</v>
      </c>
      <c r="H353" s="41">
        <v>-9480</v>
      </c>
    </row>
    <row r="354" spans="1:8">
      <c r="A354" s="39" t="s">
        <v>2278</v>
      </c>
      <c r="B354" s="39" t="s">
        <v>2279</v>
      </c>
      <c r="C354" s="39" t="s">
        <v>872</v>
      </c>
      <c r="D354" s="39" t="s">
        <v>162</v>
      </c>
      <c r="E354" s="39" t="s">
        <v>100</v>
      </c>
      <c r="F354" s="34">
        <v>0</v>
      </c>
      <c r="G354" s="41">
        <f t="shared" si="5"/>
        <v>0</v>
      </c>
      <c r="H354" s="41"/>
    </row>
    <row r="355" spans="1:8">
      <c r="A355" s="39" t="s">
        <v>933</v>
      </c>
      <c r="B355" s="39" t="s">
        <v>934</v>
      </c>
      <c r="C355" s="39" t="s">
        <v>872</v>
      </c>
      <c r="D355" s="39" t="s">
        <v>162</v>
      </c>
      <c r="E355" s="39" t="s">
        <v>100</v>
      </c>
      <c r="F355" s="34">
        <v>0</v>
      </c>
      <c r="G355" s="41">
        <f t="shared" si="5"/>
        <v>0</v>
      </c>
      <c r="H355" s="41"/>
    </row>
    <row r="356" spans="1:8">
      <c r="A356" s="39" t="s">
        <v>2202</v>
      </c>
      <c r="B356" s="39" t="s">
        <v>2203</v>
      </c>
      <c r="C356" s="39" t="s">
        <v>872</v>
      </c>
      <c r="D356" s="39" t="s">
        <v>162</v>
      </c>
      <c r="E356" s="39" t="s">
        <v>100</v>
      </c>
      <c r="F356" s="34">
        <v>-49604.12</v>
      </c>
      <c r="G356" s="41">
        <f t="shared" si="5"/>
        <v>-49604</v>
      </c>
      <c r="H356" s="41"/>
    </row>
    <row r="357" spans="1:8">
      <c r="A357" s="39" t="s">
        <v>935</v>
      </c>
      <c r="B357" s="39" t="s">
        <v>2171</v>
      </c>
      <c r="C357" s="39" t="s">
        <v>872</v>
      </c>
      <c r="D357" s="39" t="s">
        <v>162</v>
      </c>
      <c r="E357" s="39" t="s">
        <v>100</v>
      </c>
      <c r="F357" s="34">
        <v>0</v>
      </c>
      <c r="G357" s="41">
        <f t="shared" si="5"/>
        <v>0</v>
      </c>
      <c r="H357" s="41"/>
    </row>
    <row r="358" spans="1:8">
      <c r="A358" s="39" t="s">
        <v>937</v>
      </c>
      <c r="B358" s="39" t="s">
        <v>938</v>
      </c>
      <c r="C358" s="39" t="s">
        <v>872</v>
      </c>
      <c r="D358" s="39" t="s">
        <v>169</v>
      </c>
      <c r="E358" s="39" t="s">
        <v>939</v>
      </c>
      <c r="F358" s="34">
        <v>421685.6</v>
      </c>
      <c r="G358" s="41">
        <f t="shared" si="5"/>
        <v>421686</v>
      </c>
      <c r="H358" s="41"/>
    </row>
    <row r="359" spans="1:8">
      <c r="A359" s="39" t="s">
        <v>940</v>
      </c>
      <c r="B359" s="39" t="s">
        <v>941</v>
      </c>
      <c r="C359" s="39" t="s">
        <v>872</v>
      </c>
      <c r="D359" s="39" t="s">
        <v>157</v>
      </c>
      <c r="E359" s="39" t="s">
        <v>100</v>
      </c>
      <c r="F359" s="34">
        <v>0</v>
      </c>
      <c r="G359" s="41">
        <f t="shared" si="5"/>
        <v>0</v>
      </c>
      <c r="H359" s="41"/>
    </row>
    <row r="360" spans="1:8">
      <c r="A360" s="39" t="s">
        <v>942</v>
      </c>
      <c r="B360" s="39" t="s">
        <v>943</v>
      </c>
      <c r="C360" s="39" t="s">
        <v>872</v>
      </c>
      <c r="D360" s="39" t="s">
        <v>162</v>
      </c>
      <c r="E360" s="39" t="s">
        <v>100</v>
      </c>
      <c r="F360" s="34">
        <v>25032.07</v>
      </c>
      <c r="G360" s="41">
        <f t="shared" si="5"/>
        <v>25032</v>
      </c>
      <c r="H360" s="41"/>
    </row>
    <row r="361" spans="1:8">
      <c r="A361" s="39" t="s">
        <v>944</v>
      </c>
      <c r="B361" s="39" t="s">
        <v>2204</v>
      </c>
      <c r="C361" s="39" t="s">
        <v>872</v>
      </c>
      <c r="D361" s="39" t="s">
        <v>162</v>
      </c>
      <c r="E361" s="39" t="s">
        <v>100</v>
      </c>
      <c r="F361" s="34">
        <v>0</v>
      </c>
      <c r="G361" s="41">
        <f t="shared" si="5"/>
        <v>0</v>
      </c>
      <c r="H361" s="41"/>
    </row>
    <row r="362" spans="1:8">
      <c r="A362" s="39" t="s">
        <v>946</v>
      </c>
      <c r="B362" s="39" t="s">
        <v>947</v>
      </c>
      <c r="C362" s="39" t="s">
        <v>872</v>
      </c>
      <c r="D362" s="39" t="s">
        <v>162</v>
      </c>
      <c r="E362" s="39" t="s">
        <v>100</v>
      </c>
      <c r="F362" s="34">
        <v>0</v>
      </c>
      <c r="G362" s="41">
        <f t="shared" si="5"/>
        <v>0</v>
      </c>
      <c r="H362" s="41"/>
    </row>
    <row r="363" spans="1:8">
      <c r="A363" s="39" t="s">
        <v>948</v>
      </c>
      <c r="B363" s="39" t="s">
        <v>949</v>
      </c>
      <c r="C363" s="39" t="s">
        <v>872</v>
      </c>
      <c r="D363" s="39" t="s">
        <v>162</v>
      </c>
      <c r="E363" s="39" t="s">
        <v>100</v>
      </c>
      <c r="F363" s="34">
        <v>10106.379999999999</v>
      </c>
      <c r="G363" s="41">
        <f t="shared" si="5"/>
        <v>10106</v>
      </c>
      <c r="H363" s="41"/>
    </row>
    <row r="364" spans="1:8">
      <c r="A364" s="39" t="s">
        <v>950</v>
      </c>
      <c r="B364" s="39" t="s">
        <v>951</v>
      </c>
      <c r="C364" s="39" t="s">
        <v>872</v>
      </c>
      <c r="D364" s="39" t="s">
        <v>162</v>
      </c>
      <c r="E364" s="39" t="s">
        <v>100</v>
      </c>
      <c r="F364" s="34">
        <v>3000</v>
      </c>
      <c r="G364" s="41">
        <f t="shared" si="5"/>
        <v>3000</v>
      </c>
      <c r="H364" s="41"/>
    </row>
    <row r="365" spans="1:8">
      <c r="A365" s="39" t="s">
        <v>952</v>
      </c>
      <c r="B365" s="39" t="s">
        <v>953</v>
      </c>
      <c r="C365" s="39" t="s">
        <v>872</v>
      </c>
      <c r="D365" s="39" t="s">
        <v>169</v>
      </c>
      <c r="E365" s="39" t="s">
        <v>954</v>
      </c>
      <c r="F365" s="34">
        <v>38138.449999999997</v>
      </c>
      <c r="G365" s="41">
        <f t="shared" si="5"/>
        <v>38138</v>
      </c>
      <c r="H365" s="41"/>
    </row>
    <row r="366" spans="1:8">
      <c r="A366" s="39" t="s">
        <v>955</v>
      </c>
      <c r="B366" s="39" t="s">
        <v>956</v>
      </c>
      <c r="C366" s="39" t="s">
        <v>872</v>
      </c>
      <c r="D366" s="39" t="s">
        <v>157</v>
      </c>
      <c r="E366" s="39" t="s">
        <v>100</v>
      </c>
      <c r="F366" s="34">
        <v>0</v>
      </c>
      <c r="G366" s="41">
        <f t="shared" si="5"/>
        <v>0</v>
      </c>
      <c r="H366" s="41"/>
    </row>
    <row r="367" spans="1:8">
      <c r="A367" s="39" t="s">
        <v>957</v>
      </c>
      <c r="B367" s="39" t="s">
        <v>958</v>
      </c>
      <c r="C367" s="39" t="s">
        <v>872</v>
      </c>
      <c r="D367" s="39" t="s">
        <v>162</v>
      </c>
      <c r="E367" s="39" t="s">
        <v>100</v>
      </c>
      <c r="F367" s="34">
        <v>235856.07</v>
      </c>
      <c r="G367" s="41">
        <f t="shared" si="5"/>
        <v>235856</v>
      </c>
      <c r="H367" s="41"/>
    </row>
    <row r="368" spans="1:8">
      <c r="A368" s="39" t="s">
        <v>959</v>
      </c>
      <c r="B368" s="39" t="s">
        <v>960</v>
      </c>
      <c r="C368" s="39" t="s">
        <v>872</v>
      </c>
      <c r="D368" s="39" t="s">
        <v>162</v>
      </c>
      <c r="E368" s="39" t="s">
        <v>100</v>
      </c>
      <c r="F368" s="34">
        <v>785490.24</v>
      </c>
      <c r="G368" s="41">
        <f t="shared" si="5"/>
        <v>785490</v>
      </c>
      <c r="H368" s="41"/>
    </row>
    <row r="369" spans="1:8">
      <c r="A369" s="39" t="s">
        <v>961</v>
      </c>
      <c r="B369" s="39" t="s">
        <v>962</v>
      </c>
      <c r="C369" s="39" t="s">
        <v>872</v>
      </c>
      <c r="D369" s="39" t="s">
        <v>162</v>
      </c>
      <c r="E369" s="39" t="s">
        <v>100</v>
      </c>
      <c r="F369" s="34">
        <v>0</v>
      </c>
      <c r="G369" s="41">
        <f t="shared" si="5"/>
        <v>0</v>
      </c>
      <c r="H369" s="41"/>
    </row>
    <row r="370" spans="1:8">
      <c r="A370" s="39" t="s">
        <v>963</v>
      </c>
      <c r="B370" s="39" t="s">
        <v>964</v>
      </c>
      <c r="C370" s="39" t="s">
        <v>872</v>
      </c>
      <c r="D370" s="39" t="s">
        <v>162</v>
      </c>
      <c r="E370" s="39" t="s">
        <v>100</v>
      </c>
      <c r="F370" s="34">
        <v>0</v>
      </c>
      <c r="G370" s="41">
        <f t="shared" si="5"/>
        <v>0</v>
      </c>
      <c r="H370" s="41"/>
    </row>
    <row r="371" spans="1:8">
      <c r="A371" s="39" t="s">
        <v>965</v>
      </c>
      <c r="B371" s="39" t="s">
        <v>966</v>
      </c>
      <c r="C371" s="39" t="s">
        <v>872</v>
      </c>
      <c r="D371" s="39" t="s">
        <v>169</v>
      </c>
      <c r="E371" s="39" t="s">
        <v>967</v>
      </c>
      <c r="F371" s="34">
        <v>1021346.31</v>
      </c>
      <c r="G371" s="41">
        <f t="shared" si="5"/>
        <v>1021346</v>
      </c>
      <c r="H371" s="41"/>
    </row>
    <row r="372" spans="1:8">
      <c r="A372" s="39" t="s">
        <v>968</v>
      </c>
      <c r="B372" s="39" t="s">
        <v>938</v>
      </c>
      <c r="C372" s="39" t="s">
        <v>872</v>
      </c>
      <c r="D372" s="39" t="s">
        <v>169</v>
      </c>
      <c r="E372" s="39" t="s">
        <v>969</v>
      </c>
      <c r="F372" s="34">
        <v>1481170.36</v>
      </c>
      <c r="G372" s="41">
        <f t="shared" si="5"/>
        <v>1481170</v>
      </c>
      <c r="H372" s="41"/>
    </row>
    <row r="373" spans="1:8">
      <c r="A373" s="39" t="s">
        <v>970</v>
      </c>
      <c r="B373" s="39" t="s">
        <v>971</v>
      </c>
      <c r="C373" s="39" t="s">
        <v>872</v>
      </c>
      <c r="D373" s="39" t="s">
        <v>157</v>
      </c>
      <c r="E373" s="39" t="s">
        <v>100</v>
      </c>
      <c r="F373" s="34">
        <v>0</v>
      </c>
      <c r="G373" s="41">
        <f t="shared" si="5"/>
        <v>0</v>
      </c>
      <c r="H373" s="41"/>
    </row>
    <row r="374" spans="1:8">
      <c r="A374" s="39" t="s">
        <v>972</v>
      </c>
      <c r="B374" s="39" t="s">
        <v>973</v>
      </c>
      <c r="C374" s="39" t="s">
        <v>872</v>
      </c>
      <c r="D374" s="39" t="s">
        <v>162</v>
      </c>
      <c r="E374" s="39" t="s">
        <v>100</v>
      </c>
      <c r="F374" s="34">
        <v>3712365.08</v>
      </c>
      <c r="G374" s="41">
        <f t="shared" si="5"/>
        <v>3712365</v>
      </c>
      <c r="H374" s="41"/>
    </row>
    <row r="375" spans="1:8">
      <c r="A375" s="39" t="s">
        <v>974</v>
      </c>
      <c r="B375" s="39" t="s">
        <v>928</v>
      </c>
      <c r="C375" s="39" t="s">
        <v>872</v>
      </c>
      <c r="D375" s="39" t="s">
        <v>162</v>
      </c>
      <c r="E375" s="39" t="s">
        <v>100</v>
      </c>
      <c r="F375" s="34">
        <v>0</v>
      </c>
      <c r="G375" s="41">
        <f t="shared" si="5"/>
        <v>0</v>
      </c>
      <c r="H375" s="41"/>
    </row>
    <row r="376" spans="1:8">
      <c r="A376" s="39" t="s">
        <v>976</v>
      </c>
      <c r="B376" s="39" t="s">
        <v>2280</v>
      </c>
      <c r="C376" s="39" t="s">
        <v>872</v>
      </c>
      <c r="D376" s="39" t="s">
        <v>162</v>
      </c>
      <c r="E376" s="39" t="s">
        <v>100</v>
      </c>
      <c r="F376" s="34">
        <v>0</v>
      </c>
      <c r="G376" s="41">
        <f t="shared" si="5"/>
        <v>0</v>
      </c>
      <c r="H376" s="41"/>
    </row>
    <row r="377" spans="1:8">
      <c r="A377" s="39" t="s">
        <v>978</v>
      </c>
      <c r="B377" s="39" t="s">
        <v>979</v>
      </c>
      <c r="C377" s="39" t="s">
        <v>872</v>
      </c>
      <c r="D377" s="39" t="s">
        <v>162</v>
      </c>
      <c r="E377" s="39" t="s">
        <v>100</v>
      </c>
      <c r="F377" s="34">
        <v>-350.12</v>
      </c>
      <c r="G377" s="41">
        <f t="shared" si="5"/>
        <v>-350</v>
      </c>
      <c r="H377" s="41"/>
    </row>
    <row r="378" spans="1:8">
      <c r="A378" s="39" t="s">
        <v>980</v>
      </c>
      <c r="B378" s="39" t="s">
        <v>981</v>
      </c>
      <c r="C378" s="39" t="s">
        <v>872</v>
      </c>
      <c r="D378" s="39" t="s">
        <v>162</v>
      </c>
      <c r="E378" s="39" t="s">
        <v>100</v>
      </c>
      <c r="F378" s="34">
        <v>-9530.6299999999992</v>
      </c>
      <c r="G378" s="41">
        <f t="shared" si="5"/>
        <v>-9531</v>
      </c>
      <c r="H378" s="41"/>
    </row>
    <row r="379" spans="1:8">
      <c r="A379" s="39" t="s">
        <v>982</v>
      </c>
      <c r="B379" s="39" t="s">
        <v>983</v>
      </c>
      <c r="C379" s="39" t="s">
        <v>872</v>
      </c>
      <c r="D379" s="39" t="s">
        <v>162</v>
      </c>
      <c r="E379" s="39" t="s">
        <v>100</v>
      </c>
      <c r="F379" s="34">
        <v>40412.92</v>
      </c>
      <c r="G379" s="41">
        <f t="shared" si="5"/>
        <v>40413</v>
      </c>
      <c r="H379" s="41"/>
    </row>
    <row r="380" spans="1:8">
      <c r="A380" s="39" t="s">
        <v>984</v>
      </c>
      <c r="B380" s="39" t="s">
        <v>985</v>
      </c>
      <c r="C380" s="39" t="s">
        <v>872</v>
      </c>
      <c r="D380" s="39" t="s">
        <v>162</v>
      </c>
      <c r="E380" s="39" t="s">
        <v>100</v>
      </c>
      <c r="F380" s="34">
        <v>17940.23</v>
      </c>
      <c r="G380" s="41">
        <f t="shared" si="5"/>
        <v>17940</v>
      </c>
      <c r="H380" s="41"/>
    </row>
    <row r="381" spans="1:8">
      <c r="A381" s="39" t="s">
        <v>986</v>
      </c>
      <c r="B381" s="39" t="s">
        <v>987</v>
      </c>
      <c r="C381" s="39" t="s">
        <v>872</v>
      </c>
      <c r="D381" s="39" t="s">
        <v>162</v>
      </c>
      <c r="E381" s="39" t="s">
        <v>100</v>
      </c>
      <c r="F381" s="34">
        <v>9583</v>
      </c>
      <c r="G381" s="41">
        <f t="shared" si="5"/>
        <v>9583</v>
      </c>
      <c r="H381" s="41"/>
    </row>
    <row r="382" spans="1:8">
      <c r="A382" s="39" t="s">
        <v>988</v>
      </c>
      <c r="B382" s="39" t="s">
        <v>2281</v>
      </c>
      <c r="C382" s="39" t="s">
        <v>872</v>
      </c>
      <c r="D382" s="39" t="s">
        <v>162</v>
      </c>
      <c r="E382" s="39" t="s">
        <v>100</v>
      </c>
      <c r="F382" s="34">
        <v>0</v>
      </c>
      <c r="G382" s="41">
        <f t="shared" si="5"/>
        <v>0</v>
      </c>
      <c r="H382" s="41"/>
    </row>
    <row r="383" spans="1:8">
      <c r="A383" s="39" t="s">
        <v>990</v>
      </c>
      <c r="B383" s="39" t="s">
        <v>2282</v>
      </c>
      <c r="C383" s="39" t="s">
        <v>872</v>
      </c>
      <c r="D383" s="39" t="s">
        <v>162</v>
      </c>
      <c r="E383" s="39" t="s">
        <v>100</v>
      </c>
      <c r="F383" s="34">
        <v>0</v>
      </c>
      <c r="G383" s="41">
        <f t="shared" si="5"/>
        <v>0</v>
      </c>
      <c r="H383" s="41"/>
    </row>
    <row r="384" spans="1:8">
      <c r="A384" s="39" t="s">
        <v>992</v>
      </c>
      <c r="B384" s="39" t="s">
        <v>993</v>
      </c>
      <c r="C384" s="39" t="s">
        <v>872</v>
      </c>
      <c r="D384" s="39" t="s">
        <v>162</v>
      </c>
      <c r="E384" s="39" t="s">
        <v>100</v>
      </c>
      <c r="F384" s="34">
        <v>2605</v>
      </c>
      <c r="G384" s="41">
        <f t="shared" si="5"/>
        <v>2605</v>
      </c>
      <c r="H384" s="41"/>
    </row>
    <row r="385" spans="1:9">
      <c r="A385" s="39" t="s">
        <v>1002</v>
      </c>
      <c r="B385" s="39" t="s">
        <v>1003</v>
      </c>
      <c r="C385" s="39" t="s">
        <v>872</v>
      </c>
      <c r="D385" s="39" t="s">
        <v>169</v>
      </c>
      <c r="E385" s="39" t="s">
        <v>1004</v>
      </c>
      <c r="F385" s="34">
        <v>3773025.48</v>
      </c>
      <c r="G385" s="41">
        <f t="shared" si="5"/>
        <v>3773025</v>
      </c>
      <c r="H385" s="41"/>
    </row>
    <row r="386" spans="1:9">
      <c r="A386" s="39" t="s">
        <v>1005</v>
      </c>
      <c r="B386" s="39" t="s">
        <v>1006</v>
      </c>
      <c r="C386" s="39" t="s">
        <v>872</v>
      </c>
      <c r="D386" s="39" t="s">
        <v>169</v>
      </c>
      <c r="E386" s="39" t="s">
        <v>1007</v>
      </c>
      <c r="F386" s="34">
        <v>66436391.979999997</v>
      </c>
      <c r="G386" s="41">
        <f t="shared" si="5"/>
        <v>66436392</v>
      </c>
      <c r="H386" s="41"/>
    </row>
    <row r="387" spans="1:9">
      <c r="A387" s="39" t="s">
        <v>1008</v>
      </c>
      <c r="B387" s="39" t="s">
        <v>1009</v>
      </c>
      <c r="C387" s="39" t="s">
        <v>872</v>
      </c>
      <c r="D387" s="39" t="s">
        <v>157</v>
      </c>
      <c r="E387" s="39" t="s">
        <v>100</v>
      </c>
      <c r="F387" s="34">
        <v>0</v>
      </c>
      <c r="G387" s="40">
        <f t="shared" si="5"/>
        <v>0</v>
      </c>
      <c r="H387" s="40"/>
    </row>
    <row r="388" spans="1:9">
      <c r="A388" s="39" t="s">
        <v>1010</v>
      </c>
      <c r="B388" s="39" t="s">
        <v>1011</v>
      </c>
      <c r="C388" s="39" t="s">
        <v>872</v>
      </c>
      <c r="D388" s="39" t="s">
        <v>157</v>
      </c>
      <c r="E388" s="39" t="s">
        <v>100</v>
      </c>
      <c r="F388" s="34">
        <v>0</v>
      </c>
      <c r="G388" s="40">
        <f t="shared" si="5"/>
        <v>0</v>
      </c>
      <c r="H388" s="40"/>
    </row>
    <row r="389" spans="1:9">
      <c r="A389" s="39" t="s">
        <v>1012</v>
      </c>
      <c r="B389" s="39" t="s">
        <v>1013</v>
      </c>
      <c r="C389" s="39" t="s">
        <v>872</v>
      </c>
      <c r="D389" s="39" t="s">
        <v>157</v>
      </c>
      <c r="E389" s="39" t="s">
        <v>100</v>
      </c>
      <c r="F389" s="34">
        <v>0</v>
      </c>
      <c r="G389" s="40">
        <f t="shared" si="5"/>
        <v>0</v>
      </c>
      <c r="H389" s="40"/>
    </row>
    <row r="390" spans="1:9">
      <c r="A390" s="39" t="s">
        <v>1014</v>
      </c>
      <c r="B390" s="39" t="s">
        <v>1015</v>
      </c>
      <c r="C390" s="39" t="s">
        <v>872</v>
      </c>
      <c r="D390" s="39" t="s">
        <v>162</v>
      </c>
      <c r="E390" s="39" t="s">
        <v>100</v>
      </c>
      <c r="F390" s="34">
        <v>-21133281.960000001</v>
      </c>
      <c r="G390" s="40">
        <f t="shared" ref="G390:G453" si="6">ROUND(F390,0)</f>
        <v>-21133282</v>
      </c>
      <c r="H390" s="40">
        <v>-700000</v>
      </c>
    </row>
    <row r="391" spans="1:9">
      <c r="A391" s="39" t="s">
        <v>1016</v>
      </c>
      <c r="B391" s="39" t="s">
        <v>106</v>
      </c>
      <c r="C391" s="39" t="s">
        <v>872</v>
      </c>
      <c r="D391" s="39" t="s">
        <v>598</v>
      </c>
      <c r="E391" s="39" t="s">
        <v>869</v>
      </c>
      <c r="F391" s="34">
        <v>435313.56</v>
      </c>
      <c r="G391" s="40">
        <f>ROUND(F391,0)-14000+39684-18620+3469-180000+37156.64</f>
        <v>303003.64</v>
      </c>
      <c r="H391" s="40"/>
    </row>
    <row r="392" spans="1:9">
      <c r="A392" s="39" t="s">
        <v>1017</v>
      </c>
      <c r="B392" s="39" t="s">
        <v>1022</v>
      </c>
      <c r="C392" s="39" t="s">
        <v>872</v>
      </c>
      <c r="D392" s="39" t="s">
        <v>162</v>
      </c>
      <c r="E392" s="39" t="s">
        <v>100</v>
      </c>
      <c r="F392" s="34">
        <v>-19349523.52</v>
      </c>
      <c r="G392" s="40">
        <f t="shared" si="6"/>
        <v>-19349524</v>
      </c>
      <c r="H392" s="40">
        <v>-2663</v>
      </c>
    </row>
    <row r="393" spans="1:9">
      <c r="A393" s="39" t="s">
        <v>1019</v>
      </c>
      <c r="B393" s="39" t="s">
        <v>1020</v>
      </c>
      <c r="C393" s="39" t="s">
        <v>872</v>
      </c>
      <c r="D393" s="39" t="s">
        <v>162</v>
      </c>
      <c r="E393" s="39" t="s">
        <v>100</v>
      </c>
      <c r="F393" s="34">
        <v>527309.25</v>
      </c>
      <c r="G393" s="40">
        <f t="shared" si="6"/>
        <v>527309</v>
      </c>
      <c r="H393" s="40"/>
    </row>
    <row r="394" spans="1:9">
      <c r="A394" s="39" t="s">
        <v>1021</v>
      </c>
      <c r="B394" s="39" t="s">
        <v>1018</v>
      </c>
      <c r="C394" s="39" t="s">
        <v>872</v>
      </c>
      <c r="D394" s="39" t="s">
        <v>162</v>
      </c>
      <c r="E394" s="39" t="s">
        <v>100</v>
      </c>
      <c r="F394" s="34">
        <v>-2531550</v>
      </c>
      <c r="G394" s="40">
        <f t="shared" si="6"/>
        <v>-2531550</v>
      </c>
      <c r="H394" s="40"/>
    </row>
    <row r="395" spans="1:9">
      <c r="A395" s="39" t="s">
        <v>1023</v>
      </c>
      <c r="B395" s="39" t="s">
        <v>1024</v>
      </c>
      <c r="C395" s="39" t="s">
        <v>872</v>
      </c>
      <c r="D395" s="39" t="s">
        <v>162</v>
      </c>
      <c r="E395" s="39" t="s">
        <v>100</v>
      </c>
      <c r="F395" s="34">
        <v>-2289702</v>
      </c>
      <c r="G395" s="40">
        <f t="shared" si="6"/>
        <v>-2289702</v>
      </c>
      <c r="H395" s="40">
        <f>700000</f>
        <v>700000</v>
      </c>
      <c r="I395" s="3">
        <f>SUM(G390:G395)</f>
        <v>-44473745.359999999</v>
      </c>
    </row>
    <row r="396" spans="1:9">
      <c r="A396" s="39" t="s">
        <v>1025</v>
      </c>
      <c r="B396" s="39" t="s">
        <v>1026</v>
      </c>
      <c r="C396" s="39" t="s">
        <v>872</v>
      </c>
      <c r="D396" s="39" t="s">
        <v>169</v>
      </c>
      <c r="E396" s="39" t="s">
        <v>1027</v>
      </c>
      <c r="F396" s="34">
        <v>-44776748.229999997</v>
      </c>
      <c r="G396" s="40">
        <f>ROUND(F396,0)</f>
        <v>-44776748</v>
      </c>
      <c r="H396" s="40"/>
    </row>
    <row r="397" spans="1:9">
      <c r="A397" s="39" t="s">
        <v>1028</v>
      </c>
      <c r="B397" s="39" t="s">
        <v>1029</v>
      </c>
      <c r="C397" s="39" t="s">
        <v>872</v>
      </c>
      <c r="D397" s="39" t="s">
        <v>157</v>
      </c>
      <c r="E397" s="39" t="s">
        <v>100</v>
      </c>
      <c r="F397" s="34">
        <v>0</v>
      </c>
      <c r="G397" s="40">
        <f t="shared" si="6"/>
        <v>0</v>
      </c>
      <c r="H397" s="40"/>
    </row>
    <row r="398" spans="1:9">
      <c r="A398" s="39" t="s">
        <v>1030</v>
      </c>
      <c r="B398" s="39" t="s">
        <v>1031</v>
      </c>
      <c r="C398" s="39" t="s">
        <v>872</v>
      </c>
      <c r="D398" s="39" t="s">
        <v>162</v>
      </c>
      <c r="E398" s="39" t="s">
        <v>100</v>
      </c>
      <c r="F398" s="34">
        <v>-14107017.52</v>
      </c>
      <c r="G398" s="40">
        <f t="shared" si="6"/>
        <v>-14107018</v>
      </c>
      <c r="H398" s="40"/>
    </row>
    <row r="399" spans="1:9">
      <c r="A399" s="39" t="s">
        <v>1032</v>
      </c>
      <c r="B399" s="39" t="s">
        <v>1033</v>
      </c>
      <c r="C399" s="39" t="s">
        <v>872</v>
      </c>
      <c r="D399" s="39" t="s">
        <v>162</v>
      </c>
      <c r="E399" s="39" t="s">
        <v>100</v>
      </c>
      <c r="F399" s="34">
        <v>-90941.66</v>
      </c>
      <c r="G399" s="40">
        <f t="shared" si="6"/>
        <v>-90942</v>
      </c>
      <c r="H399" s="40"/>
    </row>
    <row r="400" spans="1:9">
      <c r="A400" s="39" t="s">
        <v>1034</v>
      </c>
      <c r="B400" s="39" t="s">
        <v>1035</v>
      </c>
      <c r="C400" s="39" t="s">
        <v>872</v>
      </c>
      <c r="D400" s="39" t="s">
        <v>162</v>
      </c>
      <c r="E400" s="39" t="s">
        <v>100</v>
      </c>
      <c r="F400" s="34">
        <v>574335</v>
      </c>
      <c r="G400" s="40">
        <f t="shared" si="6"/>
        <v>574335</v>
      </c>
      <c r="H400" s="40"/>
    </row>
    <row r="401" spans="1:8">
      <c r="A401" s="39" t="s">
        <v>1036</v>
      </c>
      <c r="B401" s="39" t="s">
        <v>1037</v>
      </c>
      <c r="C401" s="39" t="s">
        <v>872</v>
      </c>
      <c r="D401" s="39" t="s">
        <v>162</v>
      </c>
      <c r="E401" s="39" t="s">
        <v>100</v>
      </c>
      <c r="F401" s="34">
        <v>7486753</v>
      </c>
      <c r="G401" s="40">
        <f t="shared" si="6"/>
        <v>7486753</v>
      </c>
      <c r="H401" s="40"/>
    </row>
    <row r="402" spans="1:8">
      <c r="A402" s="39" t="s">
        <v>1038</v>
      </c>
      <c r="B402" s="39" t="s">
        <v>440</v>
      </c>
      <c r="C402" s="39" t="s">
        <v>872</v>
      </c>
      <c r="D402" s="39" t="s">
        <v>162</v>
      </c>
      <c r="E402" s="39" t="s">
        <v>100</v>
      </c>
      <c r="F402" s="34">
        <v>20000</v>
      </c>
      <c r="G402" s="40">
        <f t="shared" si="6"/>
        <v>20000</v>
      </c>
      <c r="H402" s="40"/>
    </row>
    <row r="403" spans="1:8">
      <c r="A403" s="39" t="s">
        <v>1039</v>
      </c>
      <c r="B403" s="39" t="s">
        <v>1040</v>
      </c>
      <c r="C403" s="39" t="s">
        <v>872</v>
      </c>
      <c r="D403" s="39" t="s">
        <v>169</v>
      </c>
      <c r="E403" s="39" t="s">
        <v>1041</v>
      </c>
      <c r="F403" s="34">
        <v>-6116871.1799999997</v>
      </c>
      <c r="G403" s="40">
        <f t="shared" si="6"/>
        <v>-6116871</v>
      </c>
      <c r="H403" s="40"/>
    </row>
    <row r="404" spans="1:8">
      <c r="A404" s="39" t="s">
        <v>1042</v>
      </c>
      <c r="B404" s="39" t="s">
        <v>1043</v>
      </c>
      <c r="C404" s="39" t="s">
        <v>872</v>
      </c>
      <c r="D404" s="39" t="s">
        <v>157</v>
      </c>
      <c r="E404" s="39" t="s">
        <v>100</v>
      </c>
      <c r="F404" s="34">
        <v>0</v>
      </c>
      <c r="G404" s="40">
        <f t="shared" si="6"/>
        <v>0</v>
      </c>
      <c r="H404" s="40"/>
    </row>
    <row r="405" spans="1:8">
      <c r="A405" s="39" t="s">
        <v>1044</v>
      </c>
      <c r="B405" s="39" t="s">
        <v>1045</v>
      </c>
      <c r="C405" s="39" t="s">
        <v>872</v>
      </c>
      <c r="D405" s="39" t="s">
        <v>162</v>
      </c>
      <c r="E405" s="39" t="s">
        <v>100</v>
      </c>
      <c r="F405" s="34">
        <v>0</v>
      </c>
      <c r="G405" s="40">
        <f t="shared" si="6"/>
        <v>0</v>
      </c>
      <c r="H405" s="40"/>
    </row>
    <row r="406" spans="1:8">
      <c r="A406" s="39" t="s">
        <v>1046</v>
      </c>
      <c r="B406" s="39" t="s">
        <v>1047</v>
      </c>
      <c r="C406" s="39" t="s">
        <v>872</v>
      </c>
      <c r="D406" s="39" t="s">
        <v>162</v>
      </c>
      <c r="E406" s="39" t="s">
        <v>100</v>
      </c>
      <c r="F406" s="34">
        <v>-1843138.25</v>
      </c>
      <c r="G406" s="40">
        <f t="shared" si="6"/>
        <v>-1843138</v>
      </c>
      <c r="H406" s="40"/>
    </row>
    <row r="407" spans="1:8">
      <c r="A407" s="39" t="s">
        <v>1048</v>
      </c>
      <c r="B407" s="39" t="s">
        <v>1049</v>
      </c>
      <c r="C407" s="39" t="s">
        <v>872</v>
      </c>
      <c r="D407" s="39" t="s">
        <v>162</v>
      </c>
      <c r="E407" s="39" t="s">
        <v>100</v>
      </c>
      <c r="F407" s="34">
        <v>38513.9</v>
      </c>
      <c r="G407" s="40">
        <f t="shared" si="6"/>
        <v>38514</v>
      </c>
      <c r="H407" s="40">
        <v>-38514</v>
      </c>
    </row>
    <row r="408" spans="1:8">
      <c r="A408" s="39" t="s">
        <v>1050</v>
      </c>
      <c r="B408" s="39" t="s">
        <v>1051</v>
      </c>
      <c r="C408" s="39" t="s">
        <v>872</v>
      </c>
      <c r="D408" s="39" t="s">
        <v>162</v>
      </c>
      <c r="E408" s="39" t="s">
        <v>100</v>
      </c>
      <c r="F408" s="34">
        <v>-5101.5</v>
      </c>
      <c r="G408" s="40">
        <f t="shared" si="6"/>
        <v>-5102</v>
      </c>
      <c r="H408" s="40">
        <f>2663-1170.13</f>
        <v>1492.87</v>
      </c>
    </row>
    <row r="409" spans="1:8">
      <c r="A409" s="39" t="s">
        <v>1052</v>
      </c>
      <c r="B409" s="39" t="s">
        <v>1053</v>
      </c>
      <c r="C409" s="39" t="s">
        <v>872</v>
      </c>
      <c r="D409" s="39" t="s">
        <v>162</v>
      </c>
      <c r="E409" s="39" t="s">
        <v>100</v>
      </c>
      <c r="F409" s="34">
        <v>0</v>
      </c>
      <c r="G409" s="40">
        <f t="shared" si="6"/>
        <v>0</v>
      </c>
      <c r="H409" s="40"/>
    </row>
    <row r="410" spans="1:8">
      <c r="A410" s="39" t="s">
        <v>1054</v>
      </c>
      <c r="B410" s="39" t="s">
        <v>1055</v>
      </c>
      <c r="C410" s="39" t="s">
        <v>872</v>
      </c>
      <c r="D410" s="39" t="s">
        <v>162</v>
      </c>
      <c r="E410" s="39" t="s">
        <v>100</v>
      </c>
      <c r="F410" s="34">
        <v>-2381369.5</v>
      </c>
      <c r="G410" s="40">
        <f>ROUND(F410,0)+14000</f>
        <v>-2367370</v>
      </c>
      <c r="H410" s="40">
        <v>180000</v>
      </c>
    </row>
    <row r="411" spans="1:8">
      <c r="A411" s="39" t="s">
        <v>1056</v>
      </c>
      <c r="B411" s="39" t="s">
        <v>2178</v>
      </c>
      <c r="C411" s="39" t="s">
        <v>872</v>
      </c>
      <c r="D411" s="39" t="s">
        <v>157</v>
      </c>
      <c r="E411" s="39" t="s">
        <v>100</v>
      </c>
      <c r="F411" s="34">
        <v>0</v>
      </c>
      <c r="G411" s="40">
        <f t="shared" si="6"/>
        <v>0</v>
      </c>
      <c r="H411" s="40"/>
    </row>
    <row r="412" spans="1:8">
      <c r="A412" s="39" t="s">
        <v>1058</v>
      </c>
      <c r="B412" s="39" t="s">
        <v>1031</v>
      </c>
      <c r="C412" s="39" t="s">
        <v>872</v>
      </c>
      <c r="D412" s="39" t="s">
        <v>162</v>
      </c>
      <c r="E412" s="39" t="s">
        <v>100</v>
      </c>
      <c r="F412" s="34">
        <v>-575358.43999999994</v>
      </c>
      <c r="G412" s="40">
        <f t="shared" si="6"/>
        <v>-575358</v>
      </c>
      <c r="H412" s="40"/>
    </row>
    <row r="413" spans="1:8">
      <c r="A413" s="39" t="s">
        <v>1059</v>
      </c>
      <c r="B413" s="39" t="s">
        <v>1060</v>
      </c>
      <c r="C413" s="39" t="s">
        <v>872</v>
      </c>
      <c r="D413" s="39" t="s">
        <v>162</v>
      </c>
      <c r="E413" s="39" t="s">
        <v>100</v>
      </c>
      <c r="F413" s="34">
        <v>0</v>
      </c>
      <c r="G413" s="40">
        <f t="shared" si="6"/>
        <v>0</v>
      </c>
      <c r="H413" s="40"/>
    </row>
    <row r="414" spans="1:8">
      <c r="A414" s="39" t="s">
        <v>1061</v>
      </c>
      <c r="B414" s="39" t="s">
        <v>1062</v>
      </c>
      <c r="C414" s="39" t="s">
        <v>872</v>
      </c>
      <c r="D414" s="39" t="s">
        <v>162</v>
      </c>
      <c r="E414" s="39" t="s">
        <v>100</v>
      </c>
      <c r="F414" s="34">
        <v>10931.81</v>
      </c>
      <c r="G414" s="40">
        <f t="shared" si="6"/>
        <v>10932</v>
      </c>
      <c r="H414" s="40"/>
    </row>
    <row r="415" spans="1:8">
      <c r="A415" s="39" t="s">
        <v>1063</v>
      </c>
      <c r="B415" s="39" t="s">
        <v>2179</v>
      </c>
      <c r="C415" s="39" t="s">
        <v>872</v>
      </c>
      <c r="D415" s="39" t="s">
        <v>169</v>
      </c>
      <c r="E415" s="39" t="s">
        <v>1065</v>
      </c>
      <c r="F415" s="34">
        <v>-564426.63</v>
      </c>
      <c r="G415" s="40">
        <f t="shared" si="6"/>
        <v>-564427</v>
      </c>
      <c r="H415" s="40"/>
    </row>
    <row r="416" spans="1:8">
      <c r="A416" s="39" t="s">
        <v>1066</v>
      </c>
      <c r="B416" s="39" t="s">
        <v>1067</v>
      </c>
      <c r="C416" s="39" t="s">
        <v>872</v>
      </c>
      <c r="D416" s="39" t="s">
        <v>169</v>
      </c>
      <c r="E416" s="39" t="s">
        <v>1068</v>
      </c>
      <c r="F416" s="34">
        <v>-4755521.9800000004</v>
      </c>
      <c r="G416" s="40">
        <f t="shared" si="6"/>
        <v>-4755522</v>
      </c>
      <c r="H416" s="40"/>
    </row>
    <row r="417" spans="1:8">
      <c r="A417" s="39" t="s">
        <v>1069</v>
      </c>
      <c r="B417" s="39" t="s">
        <v>1070</v>
      </c>
      <c r="C417" s="39" t="s">
        <v>872</v>
      </c>
      <c r="D417" s="39" t="s">
        <v>169</v>
      </c>
      <c r="E417" s="39" t="s">
        <v>1071</v>
      </c>
      <c r="F417" s="34">
        <v>-55649141.390000001</v>
      </c>
      <c r="G417" s="40">
        <f t="shared" si="6"/>
        <v>-55649141</v>
      </c>
      <c r="H417" s="40"/>
    </row>
    <row r="418" spans="1:8">
      <c r="A418" s="39" t="s">
        <v>1072</v>
      </c>
      <c r="B418" s="39" t="s">
        <v>1073</v>
      </c>
      <c r="C418" s="39" t="s">
        <v>872</v>
      </c>
      <c r="D418" s="39" t="s">
        <v>157</v>
      </c>
      <c r="E418" s="39" t="s">
        <v>100</v>
      </c>
      <c r="F418" s="34">
        <v>0</v>
      </c>
      <c r="G418" s="40">
        <f t="shared" si="6"/>
        <v>0</v>
      </c>
      <c r="H418" s="40"/>
    </row>
    <row r="419" spans="1:8">
      <c r="A419" s="39" t="s">
        <v>1074</v>
      </c>
      <c r="B419" s="39" t="s">
        <v>1075</v>
      </c>
      <c r="C419" s="39" t="s">
        <v>872</v>
      </c>
      <c r="D419" s="39" t="s">
        <v>162</v>
      </c>
      <c r="E419" s="39" t="s">
        <v>100</v>
      </c>
      <c r="F419" s="34">
        <v>-600000</v>
      </c>
      <c r="G419" s="40">
        <f t="shared" si="6"/>
        <v>-600000</v>
      </c>
      <c r="H419" s="40"/>
    </row>
    <row r="420" spans="1:8">
      <c r="A420" s="39" t="s">
        <v>1076</v>
      </c>
      <c r="B420" s="39" t="s">
        <v>1077</v>
      </c>
      <c r="C420" s="39" t="s">
        <v>872</v>
      </c>
      <c r="D420" s="39" t="s">
        <v>162</v>
      </c>
      <c r="E420" s="39" t="s">
        <v>100</v>
      </c>
      <c r="F420" s="34">
        <v>0</v>
      </c>
      <c r="G420" s="40">
        <f t="shared" si="6"/>
        <v>0</v>
      </c>
      <c r="H420" s="40"/>
    </row>
    <row r="421" spans="1:8">
      <c r="A421" s="39" t="s">
        <v>1078</v>
      </c>
      <c r="B421" s="39" t="s">
        <v>1079</v>
      </c>
      <c r="C421" s="39" t="s">
        <v>872</v>
      </c>
      <c r="D421" s="39" t="s">
        <v>162</v>
      </c>
      <c r="E421" s="39" t="s">
        <v>100</v>
      </c>
      <c r="F421" s="34">
        <v>-7836677.0499999998</v>
      </c>
      <c r="G421" s="40">
        <f t="shared" si="6"/>
        <v>-7836677</v>
      </c>
      <c r="H421" s="40"/>
    </row>
    <row r="422" spans="1:8">
      <c r="A422" s="39" t="s">
        <v>1080</v>
      </c>
      <c r="B422" s="39" t="s">
        <v>1081</v>
      </c>
      <c r="C422" s="39" t="s">
        <v>872</v>
      </c>
      <c r="D422" s="39" t="s">
        <v>169</v>
      </c>
      <c r="E422" s="39" t="s">
        <v>1082</v>
      </c>
      <c r="F422" s="34">
        <v>-8436677.0500000007</v>
      </c>
      <c r="G422" s="40">
        <f t="shared" si="6"/>
        <v>-8436677</v>
      </c>
      <c r="H422" s="40"/>
    </row>
    <row r="423" spans="1:8">
      <c r="A423" s="39" t="s">
        <v>1083</v>
      </c>
      <c r="B423" s="39" t="s">
        <v>1084</v>
      </c>
      <c r="C423" s="39" t="s">
        <v>872</v>
      </c>
      <c r="D423" s="39" t="s">
        <v>157</v>
      </c>
      <c r="E423" s="39" t="s">
        <v>100</v>
      </c>
      <c r="F423" s="34">
        <v>0</v>
      </c>
      <c r="G423" s="40">
        <f t="shared" si="6"/>
        <v>0</v>
      </c>
      <c r="H423" s="40"/>
    </row>
    <row r="424" spans="1:8">
      <c r="A424" s="39" t="s">
        <v>1085</v>
      </c>
      <c r="B424" s="39" t="s">
        <v>1086</v>
      </c>
      <c r="C424" s="39" t="s">
        <v>872</v>
      </c>
      <c r="D424" s="39" t="s">
        <v>157</v>
      </c>
      <c r="E424" s="39" t="s">
        <v>100</v>
      </c>
      <c r="F424" s="34">
        <v>0</v>
      </c>
      <c r="G424" s="40">
        <f t="shared" si="6"/>
        <v>0</v>
      </c>
      <c r="H424" s="40"/>
    </row>
    <row r="425" spans="1:8">
      <c r="A425" s="39" t="s">
        <v>1087</v>
      </c>
      <c r="B425" s="39" t="s">
        <v>1088</v>
      </c>
      <c r="C425" s="39" t="s">
        <v>872</v>
      </c>
      <c r="D425" s="39" t="s">
        <v>162</v>
      </c>
      <c r="E425" s="39" t="s">
        <v>100</v>
      </c>
      <c r="F425" s="34">
        <v>-323286.75</v>
      </c>
      <c r="G425" s="40">
        <f t="shared" si="6"/>
        <v>-323287</v>
      </c>
      <c r="H425" s="40"/>
    </row>
    <row r="426" spans="1:8">
      <c r="A426" s="39" t="s">
        <v>1089</v>
      </c>
      <c r="B426" s="39" t="s">
        <v>1090</v>
      </c>
      <c r="C426" s="39" t="s">
        <v>872</v>
      </c>
      <c r="D426" s="39" t="s">
        <v>169</v>
      </c>
      <c r="E426" s="39" t="s">
        <v>1091</v>
      </c>
      <c r="F426" s="34">
        <v>-323286.75</v>
      </c>
      <c r="G426" s="40">
        <f t="shared" si="6"/>
        <v>-323287</v>
      </c>
      <c r="H426" s="40"/>
    </row>
    <row r="427" spans="1:8">
      <c r="A427" s="39" t="s">
        <v>1092</v>
      </c>
      <c r="B427" s="39" t="s">
        <v>1093</v>
      </c>
      <c r="C427" s="39" t="s">
        <v>872</v>
      </c>
      <c r="D427" s="39" t="s">
        <v>157</v>
      </c>
      <c r="E427" s="39" t="s">
        <v>100</v>
      </c>
      <c r="F427" s="34">
        <v>0</v>
      </c>
      <c r="G427" s="40">
        <f t="shared" si="6"/>
        <v>0</v>
      </c>
      <c r="H427" s="40"/>
    </row>
    <row r="428" spans="1:8">
      <c r="A428" s="39" t="s">
        <v>1094</v>
      </c>
      <c r="B428" s="39" t="s">
        <v>1095</v>
      </c>
      <c r="C428" s="39" t="s">
        <v>872</v>
      </c>
      <c r="D428" s="39" t="s">
        <v>157</v>
      </c>
      <c r="E428" s="39" t="s">
        <v>100</v>
      </c>
      <c r="F428" s="34">
        <v>0</v>
      </c>
      <c r="G428" s="40">
        <f t="shared" si="6"/>
        <v>0</v>
      </c>
      <c r="H428" s="40"/>
    </row>
    <row r="429" spans="1:8">
      <c r="A429" s="39" t="s">
        <v>1096</v>
      </c>
      <c r="B429" s="39" t="s">
        <v>1097</v>
      </c>
      <c r="C429" s="39" t="s">
        <v>872</v>
      </c>
      <c r="D429" s="39" t="s">
        <v>162</v>
      </c>
      <c r="E429" s="39" t="s">
        <v>100</v>
      </c>
      <c r="F429" s="34">
        <v>0</v>
      </c>
      <c r="G429" s="40">
        <f t="shared" si="6"/>
        <v>0</v>
      </c>
      <c r="H429" s="40"/>
    </row>
    <row r="430" spans="1:8">
      <c r="A430" s="39" t="s">
        <v>1098</v>
      </c>
      <c r="B430" s="39" t="s">
        <v>1099</v>
      </c>
      <c r="C430" s="39" t="s">
        <v>872</v>
      </c>
      <c r="D430" s="39" t="s">
        <v>162</v>
      </c>
      <c r="E430" s="39" t="s">
        <v>100</v>
      </c>
      <c r="F430" s="34">
        <v>0</v>
      </c>
      <c r="G430" s="40">
        <f t="shared" si="6"/>
        <v>0</v>
      </c>
      <c r="H430" s="40"/>
    </row>
    <row r="431" spans="1:8">
      <c r="A431" s="39" t="s">
        <v>1100</v>
      </c>
      <c r="B431" s="39" t="s">
        <v>1101</v>
      </c>
      <c r="C431" s="39" t="s">
        <v>872</v>
      </c>
      <c r="D431" s="39" t="s">
        <v>169</v>
      </c>
      <c r="E431" s="39" t="s">
        <v>1102</v>
      </c>
      <c r="F431" s="34">
        <v>0</v>
      </c>
      <c r="G431" s="40">
        <f t="shared" si="6"/>
        <v>0</v>
      </c>
      <c r="H431" s="40"/>
    </row>
    <row r="432" spans="1:8">
      <c r="A432" s="39" t="s">
        <v>1103</v>
      </c>
      <c r="B432" s="39" t="s">
        <v>1104</v>
      </c>
      <c r="C432" s="39" t="s">
        <v>872</v>
      </c>
      <c r="D432" s="39" t="s">
        <v>157</v>
      </c>
      <c r="E432" s="39" t="s">
        <v>100</v>
      </c>
      <c r="F432" s="34">
        <v>0</v>
      </c>
      <c r="G432" s="40">
        <f t="shared" si="6"/>
        <v>0</v>
      </c>
      <c r="H432" s="40"/>
    </row>
    <row r="433" spans="1:8">
      <c r="A433" s="39" t="s">
        <v>1105</v>
      </c>
      <c r="B433" s="39" t="s">
        <v>155</v>
      </c>
      <c r="C433" s="39" t="s">
        <v>872</v>
      </c>
      <c r="D433" s="39" t="s">
        <v>157</v>
      </c>
      <c r="E433" s="39" t="s">
        <v>100</v>
      </c>
      <c r="F433" s="34">
        <v>0</v>
      </c>
      <c r="G433" s="40">
        <f t="shared" si="6"/>
        <v>0</v>
      </c>
      <c r="H433" s="40"/>
    </row>
    <row r="434" spans="1:8">
      <c r="A434" s="39" t="s">
        <v>1106</v>
      </c>
      <c r="B434" s="39" t="s">
        <v>1107</v>
      </c>
      <c r="C434" s="39" t="s">
        <v>872</v>
      </c>
      <c r="D434" s="39" t="s">
        <v>162</v>
      </c>
      <c r="E434" s="39" t="s">
        <v>100</v>
      </c>
      <c r="F434" s="34">
        <v>-179531.72</v>
      </c>
      <c r="G434" s="40">
        <f t="shared" si="6"/>
        <v>-179532</v>
      </c>
      <c r="H434" s="40"/>
    </row>
    <row r="435" spans="1:8">
      <c r="A435" s="39" t="s">
        <v>1108</v>
      </c>
      <c r="B435" s="39" t="s">
        <v>440</v>
      </c>
      <c r="C435" s="39" t="s">
        <v>872</v>
      </c>
      <c r="D435" s="39" t="s">
        <v>162</v>
      </c>
      <c r="E435" s="39" t="s">
        <v>100</v>
      </c>
      <c r="F435" s="34">
        <v>-150406</v>
      </c>
      <c r="G435" s="40">
        <f t="shared" si="6"/>
        <v>-150406</v>
      </c>
      <c r="H435" s="40"/>
    </row>
    <row r="436" spans="1:8">
      <c r="A436" s="39" t="s">
        <v>1109</v>
      </c>
      <c r="B436" s="39" t="s">
        <v>1110</v>
      </c>
      <c r="C436" s="39" t="s">
        <v>872</v>
      </c>
      <c r="D436" s="39" t="s">
        <v>162</v>
      </c>
      <c r="E436" s="39" t="s">
        <v>100</v>
      </c>
      <c r="F436" s="34">
        <v>-15400</v>
      </c>
      <c r="G436" s="40">
        <f t="shared" si="6"/>
        <v>-15400</v>
      </c>
      <c r="H436" s="40"/>
    </row>
    <row r="437" spans="1:8">
      <c r="A437" s="39" t="s">
        <v>1111</v>
      </c>
      <c r="B437" s="39" t="s">
        <v>481</v>
      </c>
      <c r="C437" s="39" t="s">
        <v>872</v>
      </c>
      <c r="D437" s="39" t="s">
        <v>162</v>
      </c>
      <c r="E437" s="39" t="s">
        <v>100</v>
      </c>
      <c r="F437" s="34">
        <v>149406.81</v>
      </c>
      <c r="G437" s="40">
        <f t="shared" si="6"/>
        <v>149407</v>
      </c>
      <c r="H437" s="40"/>
    </row>
    <row r="438" spans="1:8">
      <c r="A438" s="39" t="s">
        <v>1112</v>
      </c>
      <c r="B438" s="39" t="s">
        <v>278</v>
      </c>
      <c r="C438" s="39" t="s">
        <v>872</v>
      </c>
      <c r="D438" s="39" t="s">
        <v>169</v>
      </c>
      <c r="E438" s="39" t="s">
        <v>1113</v>
      </c>
      <c r="F438" s="34">
        <v>-195930.91</v>
      </c>
      <c r="G438" s="40">
        <f t="shared" si="6"/>
        <v>-195931</v>
      </c>
      <c r="H438" s="40"/>
    </row>
    <row r="439" spans="1:8">
      <c r="A439" s="39" t="s">
        <v>1114</v>
      </c>
      <c r="B439" s="39" t="s">
        <v>1115</v>
      </c>
      <c r="C439" s="39" t="s">
        <v>872</v>
      </c>
      <c r="D439" s="39" t="s">
        <v>157</v>
      </c>
      <c r="E439" s="39" t="s">
        <v>100</v>
      </c>
      <c r="F439" s="34">
        <v>0</v>
      </c>
      <c r="G439" s="40">
        <f t="shared" si="6"/>
        <v>0</v>
      </c>
      <c r="H439" s="40"/>
    </row>
    <row r="440" spans="1:8">
      <c r="A440" s="39" t="s">
        <v>1116</v>
      </c>
      <c r="B440" s="39" t="s">
        <v>220</v>
      </c>
      <c r="C440" s="39" t="s">
        <v>872</v>
      </c>
      <c r="D440" s="39" t="s">
        <v>162</v>
      </c>
      <c r="E440" s="39" t="s">
        <v>100</v>
      </c>
      <c r="F440" s="34">
        <v>56740.03</v>
      </c>
      <c r="G440" s="40">
        <f t="shared" si="6"/>
        <v>56740</v>
      </c>
      <c r="H440" s="40"/>
    </row>
    <row r="441" spans="1:8">
      <c r="A441" s="39" t="s">
        <v>1117</v>
      </c>
      <c r="B441" s="39" t="s">
        <v>1118</v>
      </c>
      <c r="C441" s="39" t="s">
        <v>872</v>
      </c>
      <c r="D441" s="39" t="s">
        <v>162</v>
      </c>
      <c r="E441" s="39" t="s">
        <v>100</v>
      </c>
      <c r="F441" s="34">
        <v>30766.16</v>
      </c>
      <c r="G441" s="40">
        <f t="shared" si="6"/>
        <v>30766</v>
      </c>
      <c r="H441" s="40"/>
    </row>
    <row r="442" spans="1:8">
      <c r="A442" s="39" t="s">
        <v>1119</v>
      </c>
      <c r="B442" s="39" t="s">
        <v>1120</v>
      </c>
      <c r="C442" s="39" t="s">
        <v>872</v>
      </c>
      <c r="D442" s="39" t="s">
        <v>162</v>
      </c>
      <c r="E442" s="39" t="s">
        <v>100</v>
      </c>
      <c r="F442" s="34">
        <v>117747.82</v>
      </c>
      <c r="G442" s="40">
        <f t="shared" si="6"/>
        <v>117748</v>
      </c>
      <c r="H442" s="40"/>
    </row>
    <row r="443" spans="1:8">
      <c r="A443" s="39" t="s">
        <v>1121</v>
      </c>
      <c r="B443" s="39" t="s">
        <v>1122</v>
      </c>
      <c r="C443" s="39" t="s">
        <v>872</v>
      </c>
      <c r="D443" s="39" t="s">
        <v>162</v>
      </c>
      <c r="E443" s="39" t="s">
        <v>100</v>
      </c>
      <c r="F443" s="34">
        <v>1607.36</v>
      </c>
      <c r="G443" s="40">
        <f t="shared" si="6"/>
        <v>1607</v>
      </c>
      <c r="H443" s="40"/>
    </row>
    <row r="444" spans="1:8">
      <c r="A444" s="39" t="s">
        <v>1123</v>
      </c>
      <c r="B444" s="39" t="s">
        <v>1124</v>
      </c>
      <c r="C444" s="39" t="s">
        <v>872</v>
      </c>
      <c r="D444" s="39" t="s">
        <v>162</v>
      </c>
      <c r="E444" s="39" t="s">
        <v>100</v>
      </c>
      <c r="F444" s="34">
        <v>0</v>
      </c>
      <c r="G444" s="40">
        <f t="shared" si="6"/>
        <v>0</v>
      </c>
      <c r="H444" s="40"/>
    </row>
    <row r="445" spans="1:8">
      <c r="A445" s="39" t="s">
        <v>1125</v>
      </c>
      <c r="B445" s="39" t="s">
        <v>1126</v>
      </c>
      <c r="C445" s="39" t="s">
        <v>872</v>
      </c>
      <c r="D445" s="39" t="s">
        <v>162</v>
      </c>
      <c r="E445" s="39" t="s">
        <v>100</v>
      </c>
      <c r="F445" s="34">
        <v>0</v>
      </c>
      <c r="G445" s="40">
        <f t="shared" si="6"/>
        <v>0</v>
      </c>
      <c r="H445" s="40"/>
    </row>
    <row r="446" spans="1:8">
      <c r="A446" s="39" t="s">
        <v>1127</v>
      </c>
      <c r="B446" s="39" t="s">
        <v>1128</v>
      </c>
      <c r="C446" s="39" t="s">
        <v>872</v>
      </c>
      <c r="D446" s="39" t="s">
        <v>162</v>
      </c>
      <c r="E446" s="39" t="s">
        <v>100</v>
      </c>
      <c r="F446" s="34">
        <v>0</v>
      </c>
      <c r="G446" s="40">
        <f t="shared" si="6"/>
        <v>0</v>
      </c>
      <c r="H446" s="40"/>
    </row>
    <row r="447" spans="1:8">
      <c r="A447" s="39" t="s">
        <v>1129</v>
      </c>
      <c r="B447" s="39" t="s">
        <v>1130</v>
      </c>
      <c r="C447" s="39" t="s">
        <v>872</v>
      </c>
      <c r="D447" s="39" t="s">
        <v>162</v>
      </c>
      <c r="E447" s="39" t="s">
        <v>100</v>
      </c>
      <c r="F447" s="34">
        <v>0</v>
      </c>
      <c r="G447" s="40">
        <f t="shared" si="6"/>
        <v>0</v>
      </c>
      <c r="H447" s="40"/>
    </row>
    <row r="448" spans="1:8">
      <c r="A448" s="39" t="s">
        <v>1131</v>
      </c>
      <c r="B448" s="39" t="s">
        <v>1132</v>
      </c>
      <c r="C448" s="39" t="s">
        <v>872</v>
      </c>
      <c r="D448" s="39" t="s">
        <v>162</v>
      </c>
      <c r="E448" s="39" t="s">
        <v>100</v>
      </c>
      <c r="F448" s="34">
        <v>0</v>
      </c>
      <c r="G448" s="40">
        <f t="shared" si="6"/>
        <v>0</v>
      </c>
      <c r="H448" s="40"/>
    </row>
    <row r="449" spans="1:8">
      <c r="A449" s="39" t="s">
        <v>1133</v>
      </c>
      <c r="B449" s="39" t="s">
        <v>1134</v>
      </c>
      <c r="C449" s="39" t="s">
        <v>872</v>
      </c>
      <c r="D449" s="39" t="s">
        <v>162</v>
      </c>
      <c r="E449" s="39" t="s">
        <v>100</v>
      </c>
      <c r="F449" s="34">
        <v>0</v>
      </c>
      <c r="G449" s="40">
        <f t="shared" si="6"/>
        <v>0</v>
      </c>
      <c r="H449" s="40"/>
    </row>
    <row r="450" spans="1:8">
      <c r="A450" s="39" t="s">
        <v>1135</v>
      </c>
      <c r="B450" s="39" t="s">
        <v>1136</v>
      </c>
      <c r="C450" s="39" t="s">
        <v>872</v>
      </c>
      <c r="D450" s="39" t="s">
        <v>162</v>
      </c>
      <c r="E450" s="39" t="s">
        <v>100</v>
      </c>
      <c r="F450" s="34">
        <v>0</v>
      </c>
      <c r="G450" s="40">
        <f t="shared" si="6"/>
        <v>0</v>
      </c>
      <c r="H450" s="40"/>
    </row>
    <row r="451" spans="1:8">
      <c r="A451" s="39" t="s">
        <v>1137</v>
      </c>
      <c r="B451" s="39" t="s">
        <v>1138</v>
      </c>
      <c r="C451" s="39" t="s">
        <v>872</v>
      </c>
      <c r="D451" s="39" t="s">
        <v>162</v>
      </c>
      <c r="E451" s="39" t="s">
        <v>100</v>
      </c>
      <c r="F451" s="34">
        <v>0</v>
      </c>
      <c r="G451" s="40">
        <f t="shared" si="6"/>
        <v>0</v>
      </c>
      <c r="H451" s="40"/>
    </row>
    <row r="452" spans="1:8">
      <c r="A452" s="39" t="s">
        <v>1139</v>
      </c>
      <c r="B452" s="39" t="s">
        <v>1140</v>
      </c>
      <c r="C452" s="39" t="s">
        <v>872</v>
      </c>
      <c r="D452" s="39" t="s">
        <v>162</v>
      </c>
      <c r="E452" s="39" t="s">
        <v>100</v>
      </c>
      <c r="F452" s="34">
        <v>0</v>
      </c>
      <c r="G452" s="40">
        <f t="shared" si="6"/>
        <v>0</v>
      </c>
      <c r="H452" s="40"/>
    </row>
    <row r="453" spans="1:8">
      <c r="A453" s="39" t="s">
        <v>1141</v>
      </c>
      <c r="B453" s="39" t="s">
        <v>748</v>
      </c>
      <c r="C453" s="39" t="s">
        <v>872</v>
      </c>
      <c r="D453" s="39" t="s">
        <v>162</v>
      </c>
      <c r="E453" s="39" t="s">
        <v>100</v>
      </c>
      <c r="F453" s="34">
        <v>0</v>
      </c>
      <c r="G453" s="40">
        <f t="shared" si="6"/>
        <v>0</v>
      </c>
      <c r="H453" s="40"/>
    </row>
    <row r="454" spans="1:8">
      <c r="A454" s="39" t="s">
        <v>1143</v>
      </c>
      <c r="B454" s="39" t="s">
        <v>1144</v>
      </c>
      <c r="C454" s="39" t="s">
        <v>872</v>
      </c>
      <c r="D454" s="39" t="s">
        <v>162</v>
      </c>
      <c r="E454" s="39" t="s">
        <v>100</v>
      </c>
      <c r="F454" s="34">
        <v>0</v>
      </c>
      <c r="G454" s="40">
        <f t="shared" ref="G454:G517" si="7">ROUND(F454,0)</f>
        <v>0</v>
      </c>
      <c r="H454" s="40"/>
    </row>
    <row r="455" spans="1:8">
      <c r="A455" s="39" t="s">
        <v>1145</v>
      </c>
      <c r="B455" s="39" t="s">
        <v>1146</v>
      </c>
      <c r="C455" s="39" t="s">
        <v>872</v>
      </c>
      <c r="D455" s="39" t="s">
        <v>162</v>
      </c>
      <c r="E455" s="39" t="s">
        <v>100</v>
      </c>
      <c r="F455" s="34">
        <v>0</v>
      </c>
      <c r="G455" s="40">
        <f t="shared" si="7"/>
        <v>0</v>
      </c>
      <c r="H455" s="40"/>
    </row>
    <row r="456" spans="1:8">
      <c r="A456" s="39" t="s">
        <v>1147</v>
      </c>
      <c r="B456" s="39" t="s">
        <v>1148</v>
      </c>
      <c r="C456" s="39" t="s">
        <v>872</v>
      </c>
      <c r="D456" s="39" t="s">
        <v>162</v>
      </c>
      <c r="E456" s="39" t="s">
        <v>100</v>
      </c>
      <c r="F456" s="34">
        <v>0</v>
      </c>
      <c r="G456" s="40">
        <f t="shared" si="7"/>
        <v>0</v>
      </c>
      <c r="H456" s="40"/>
    </row>
    <row r="457" spans="1:8">
      <c r="A457" s="39" t="s">
        <v>1149</v>
      </c>
      <c r="B457" s="39" t="s">
        <v>1150</v>
      </c>
      <c r="C457" s="39" t="s">
        <v>872</v>
      </c>
      <c r="D457" s="39" t="s">
        <v>162</v>
      </c>
      <c r="E457" s="39" t="s">
        <v>100</v>
      </c>
      <c r="F457" s="34">
        <v>0</v>
      </c>
      <c r="G457" s="40">
        <f t="shared" si="7"/>
        <v>0</v>
      </c>
      <c r="H457" s="40"/>
    </row>
    <row r="458" spans="1:8">
      <c r="A458" s="39" t="s">
        <v>1151</v>
      </c>
      <c r="B458" s="39" t="s">
        <v>1152</v>
      </c>
      <c r="C458" s="39" t="s">
        <v>872</v>
      </c>
      <c r="D458" s="39" t="s">
        <v>169</v>
      </c>
      <c r="E458" s="39" t="s">
        <v>1153</v>
      </c>
      <c r="F458" s="34">
        <v>206861.37</v>
      </c>
      <c r="G458" s="40">
        <f t="shared" si="7"/>
        <v>206861</v>
      </c>
      <c r="H458" s="40"/>
    </row>
    <row r="459" spans="1:8">
      <c r="A459" s="39" t="s">
        <v>1154</v>
      </c>
      <c r="B459" s="39" t="s">
        <v>1155</v>
      </c>
      <c r="C459" s="39" t="s">
        <v>872</v>
      </c>
      <c r="D459" s="39" t="s">
        <v>169</v>
      </c>
      <c r="E459" s="39" t="s">
        <v>1156</v>
      </c>
      <c r="F459" s="34">
        <v>10930.46</v>
      </c>
      <c r="G459" s="40">
        <f t="shared" si="7"/>
        <v>10930</v>
      </c>
      <c r="H459" s="40"/>
    </row>
    <row r="460" spans="1:8">
      <c r="A460" s="39" t="s">
        <v>1157</v>
      </c>
      <c r="B460" s="39" t="s">
        <v>1158</v>
      </c>
      <c r="C460" s="39" t="s">
        <v>872</v>
      </c>
      <c r="D460" s="39" t="s">
        <v>169</v>
      </c>
      <c r="E460" s="39" t="s">
        <v>1159</v>
      </c>
      <c r="F460" s="34">
        <v>10930.46</v>
      </c>
      <c r="G460" s="40">
        <f t="shared" si="7"/>
        <v>10930</v>
      </c>
      <c r="H460" s="40"/>
    </row>
    <row r="461" spans="1:8">
      <c r="A461" s="39" t="s">
        <v>1160</v>
      </c>
      <c r="B461" s="39" t="s">
        <v>1161</v>
      </c>
      <c r="C461" s="39" t="s">
        <v>872</v>
      </c>
      <c r="D461" s="39" t="s">
        <v>157</v>
      </c>
      <c r="E461" s="39" t="s">
        <v>100</v>
      </c>
      <c r="F461" s="34">
        <v>0</v>
      </c>
      <c r="G461" s="40">
        <f t="shared" si="7"/>
        <v>0</v>
      </c>
      <c r="H461" s="40"/>
    </row>
    <row r="462" spans="1:8">
      <c r="A462" s="39" t="s">
        <v>1162</v>
      </c>
      <c r="B462" s="39" t="s">
        <v>1163</v>
      </c>
      <c r="C462" s="39" t="s">
        <v>872</v>
      </c>
      <c r="D462" s="39" t="s">
        <v>162</v>
      </c>
      <c r="E462" s="39" t="s">
        <v>100</v>
      </c>
      <c r="F462" s="34">
        <v>-2910</v>
      </c>
      <c r="G462" s="40">
        <f t="shared" si="7"/>
        <v>-2910</v>
      </c>
      <c r="H462" s="40"/>
    </row>
    <row r="463" spans="1:8">
      <c r="A463" s="39" t="s">
        <v>1164</v>
      </c>
      <c r="B463" s="39" t="s">
        <v>1165</v>
      </c>
      <c r="C463" s="39" t="s">
        <v>872</v>
      </c>
      <c r="D463" s="39" t="s">
        <v>162</v>
      </c>
      <c r="E463" s="39" t="s">
        <v>100</v>
      </c>
      <c r="F463" s="34">
        <v>-575</v>
      </c>
      <c r="G463" s="40">
        <f t="shared" si="7"/>
        <v>-575</v>
      </c>
      <c r="H463" s="40"/>
    </row>
    <row r="464" spans="1:8">
      <c r="A464" s="39" t="s">
        <v>1166</v>
      </c>
      <c r="B464" s="39" t="s">
        <v>1167</v>
      </c>
      <c r="C464" s="39" t="s">
        <v>872</v>
      </c>
      <c r="D464" s="39" t="s">
        <v>162</v>
      </c>
      <c r="E464" s="39" t="s">
        <v>100</v>
      </c>
      <c r="F464" s="34">
        <v>-2340</v>
      </c>
      <c r="G464" s="40">
        <f t="shared" si="7"/>
        <v>-2340</v>
      </c>
      <c r="H464" s="40"/>
    </row>
    <row r="465" spans="1:8">
      <c r="A465" s="39" t="s">
        <v>1168</v>
      </c>
      <c r="B465" s="39" t="s">
        <v>1169</v>
      </c>
      <c r="C465" s="39" t="s">
        <v>872</v>
      </c>
      <c r="D465" s="39" t="s">
        <v>162</v>
      </c>
      <c r="E465" s="39" t="s">
        <v>100</v>
      </c>
      <c r="F465" s="34">
        <v>-39225</v>
      </c>
      <c r="G465" s="40">
        <f t="shared" si="7"/>
        <v>-39225</v>
      </c>
      <c r="H465" s="40"/>
    </row>
    <row r="466" spans="1:8">
      <c r="A466" s="39" t="s">
        <v>1170</v>
      </c>
      <c r="B466" s="39" t="s">
        <v>1171</v>
      </c>
      <c r="C466" s="39" t="s">
        <v>872</v>
      </c>
      <c r="D466" s="39" t="s">
        <v>162</v>
      </c>
      <c r="E466" s="39" t="s">
        <v>100</v>
      </c>
      <c r="F466" s="34">
        <v>0</v>
      </c>
      <c r="G466" s="40">
        <f t="shared" si="7"/>
        <v>0</v>
      </c>
      <c r="H466" s="40"/>
    </row>
    <row r="467" spans="1:8">
      <c r="A467" s="39" t="s">
        <v>1172</v>
      </c>
      <c r="B467" s="39" t="s">
        <v>1173</v>
      </c>
      <c r="C467" s="39" t="s">
        <v>872</v>
      </c>
      <c r="D467" s="39" t="s">
        <v>162</v>
      </c>
      <c r="E467" s="39" t="s">
        <v>100</v>
      </c>
      <c r="F467" s="34">
        <v>-110</v>
      </c>
      <c r="G467" s="40">
        <f t="shared" si="7"/>
        <v>-110</v>
      </c>
      <c r="H467" s="40"/>
    </row>
    <row r="468" spans="1:8">
      <c r="A468" s="39" t="s">
        <v>1174</v>
      </c>
      <c r="B468" s="39" t="s">
        <v>1175</v>
      </c>
      <c r="C468" s="39" t="s">
        <v>872</v>
      </c>
      <c r="D468" s="39" t="s">
        <v>162</v>
      </c>
      <c r="E468" s="39" t="s">
        <v>100</v>
      </c>
      <c r="F468" s="34">
        <v>-2580</v>
      </c>
      <c r="G468" s="40">
        <f t="shared" si="7"/>
        <v>-2580</v>
      </c>
      <c r="H468" s="40"/>
    </row>
    <row r="469" spans="1:8">
      <c r="A469" s="39" t="s">
        <v>1176</v>
      </c>
      <c r="B469" s="39" t="s">
        <v>1177</v>
      </c>
      <c r="C469" s="39" t="s">
        <v>872</v>
      </c>
      <c r="D469" s="39" t="s">
        <v>162</v>
      </c>
      <c r="E469" s="39" t="s">
        <v>100</v>
      </c>
      <c r="F469" s="34">
        <v>-5448</v>
      </c>
      <c r="G469" s="40">
        <f t="shared" si="7"/>
        <v>-5448</v>
      </c>
      <c r="H469" s="40"/>
    </row>
    <row r="470" spans="1:8">
      <c r="A470" s="39" t="s">
        <v>1178</v>
      </c>
      <c r="B470" s="39" t="s">
        <v>928</v>
      </c>
      <c r="C470" s="39" t="s">
        <v>872</v>
      </c>
      <c r="D470" s="39" t="s">
        <v>162</v>
      </c>
      <c r="E470" s="39" t="s">
        <v>100</v>
      </c>
      <c r="F470" s="34">
        <v>0</v>
      </c>
      <c r="G470" s="40">
        <f t="shared" si="7"/>
        <v>0</v>
      </c>
      <c r="H470" s="40"/>
    </row>
    <row r="471" spans="1:8">
      <c r="A471" s="39" t="s">
        <v>1180</v>
      </c>
      <c r="B471" s="39" t="s">
        <v>1181</v>
      </c>
      <c r="C471" s="39" t="s">
        <v>872</v>
      </c>
      <c r="D471" s="39" t="s">
        <v>162</v>
      </c>
      <c r="E471" s="39" t="s">
        <v>100</v>
      </c>
      <c r="F471" s="34">
        <v>-10931.81</v>
      </c>
      <c r="G471" s="40">
        <f t="shared" si="7"/>
        <v>-10932</v>
      </c>
      <c r="H471" s="40"/>
    </row>
    <row r="472" spans="1:8">
      <c r="A472" s="39" t="s">
        <v>1182</v>
      </c>
      <c r="B472" s="39" t="s">
        <v>2222</v>
      </c>
      <c r="C472" s="39" t="s">
        <v>872</v>
      </c>
      <c r="D472" s="39" t="s">
        <v>162</v>
      </c>
      <c r="E472" s="39" t="s">
        <v>100</v>
      </c>
      <c r="F472" s="34">
        <v>61291.08</v>
      </c>
      <c r="G472" s="40">
        <f t="shared" si="7"/>
        <v>61291</v>
      </c>
      <c r="H472" s="40"/>
    </row>
    <row r="473" spans="1:8">
      <c r="A473" s="39" t="s">
        <v>1186</v>
      </c>
      <c r="B473" s="39" t="s">
        <v>1187</v>
      </c>
      <c r="C473" s="39" t="s">
        <v>872</v>
      </c>
      <c r="D473" s="39" t="s">
        <v>162</v>
      </c>
      <c r="E473" s="39" t="s">
        <v>100</v>
      </c>
      <c r="F473" s="34">
        <v>-2750</v>
      </c>
      <c r="G473" s="40">
        <f t="shared" si="7"/>
        <v>-2750</v>
      </c>
      <c r="H473" s="40"/>
    </row>
    <row r="474" spans="1:8">
      <c r="A474" s="39" t="s">
        <v>1188</v>
      </c>
      <c r="B474" s="39" t="s">
        <v>2180</v>
      </c>
      <c r="C474" s="39" t="s">
        <v>872</v>
      </c>
      <c r="D474" s="39" t="s">
        <v>162</v>
      </c>
      <c r="E474" s="39" t="s">
        <v>100</v>
      </c>
      <c r="F474" s="34">
        <v>2750</v>
      </c>
      <c r="G474" s="40">
        <f t="shared" si="7"/>
        <v>2750</v>
      </c>
      <c r="H474" s="40"/>
    </row>
    <row r="475" spans="1:8">
      <c r="A475" s="39" t="s">
        <v>1190</v>
      </c>
      <c r="B475" s="39" t="s">
        <v>1191</v>
      </c>
      <c r="C475" s="39" t="s">
        <v>872</v>
      </c>
      <c r="D475" s="39" t="s">
        <v>162</v>
      </c>
      <c r="E475" s="39" t="s">
        <v>100</v>
      </c>
      <c r="F475" s="34">
        <v>-236417.7</v>
      </c>
      <c r="G475" s="40">
        <f t="shared" si="7"/>
        <v>-236418</v>
      </c>
      <c r="H475" s="40"/>
    </row>
    <row r="476" spans="1:8">
      <c r="A476" s="39" t="s">
        <v>1192</v>
      </c>
      <c r="B476" s="39" t="s">
        <v>1193</v>
      </c>
      <c r="C476" s="39" t="s">
        <v>872</v>
      </c>
      <c r="D476" s="39" t="s">
        <v>162</v>
      </c>
      <c r="E476" s="39" t="s">
        <v>100</v>
      </c>
      <c r="F476" s="34">
        <v>2003.2</v>
      </c>
      <c r="G476" s="40">
        <f t="shared" si="7"/>
        <v>2003</v>
      </c>
      <c r="H476" s="40"/>
    </row>
    <row r="477" spans="1:8">
      <c r="A477" s="39" t="s">
        <v>1194</v>
      </c>
      <c r="B477" s="39" t="s">
        <v>2181</v>
      </c>
      <c r="C477" s="39" t="s">
        <v>872</v>
      </c>
      <c r="D477" s="39" t="s">
        <v>162</v>
      </c>
      <c r="E477" s="39" t="s">
        <v>100</v>
      </c>
      <c r="F477" s="34">
        <v>0</v>
      </c>
      <c r="G477" s="40">
        <f t="shared" si="7"/>
        <v>0</v>
      </c>
      <c r="H477" s="40">
        <v>-37157.64</v>
      </c>
    </row>
    <row r="478" spans="1:8">
      <c r="A478" s="39" t="s">
        <v>1196</v>
      </c>
      <c r="B478" s="39" t="s">
        <v>2223</v>
      </c>
      <c r="C478" s="39" t="s">
        <v>872</v>
      </c>
      <c r="D478" s="39" t="s">
        <v>162</v>
      </c>
      <c r="E478" s="39" t="s">
        <v>100</v>
      </c>
      <c r="F478" s="34">
        <v>0</v>
      </c>
      <c r="G478" s="40">
        <f t="shared" si="7"/>
        <v>0</v>
      </c>
      <c r="H478" s="40"/>
    </row>
    <row r="479" spans="1:8">
      <c r="A479" s="39" t="s">
        <v>1200</v>
      </c>
      <c r="B479" s="39" t="s">
        <v>1201</v>
      </c>
      <c r="C479" s="39" t="s">
        <v>872</v>
      </c>
      <c r="D479" s="39" t="s">
        <v>169</v>
      </c>
      <c r="E479" s="39" t="s">
        <v>1202</v>
      </c>
      <c r="F479" s="34">
        <v>-237243.23</v>
      </c>
      <c r="G479" s="40">
        <f t="shared" si="7"/>
        <v>-237243</v>
      </c>
      <c r="H479" s="40"/>
    </row>
    <row r="480" spans="1:8">
      <c r="A480" s="39" t="s">
        <v>1203</v>
      </c>
      <c r="B480" s="39" t="s">
        <v>1204</v>
      </c>
      <c r="C480" s="39" t="s">
        <v>872</v>
      </c>
      <c r="D480" s="39" t="s">
        <v>157</v>
      </c>
      <c r="E480" s="39" t="s">
        <v>100</v>
      </c>
      <c r="F480" s="34">
        <v>0</v>
      </c>
      <c r="G480" s="40">
        <f t="shared" si="7"/>
        <v>0</v>
      </c>
      <c r="H480" s="40"/>
    </row>
    <row r="481" spans="1:10">
      <c r="A481" s="39" t="s">
        <v>1205</v>
      </c>
      <c r="B481" s="39" t="s">
        <v>1206</v>
      </c>
      <c r="C481" s="39" t="s">
        <v>872</v>
      </c>
      <c r="D481" s="39" t="s">
        <v>162</v>
      </c>
      <c r="E481" s="39" t="s">
        <v>100</v>
      </c>
      <c r="F481" s="34">
        <v>-306816.56</v>
      </c>
      <c r="G481" s="40">
        <f t="shared" si="7"/>
        <v>-306817</v>
      </c>
      <c r="H481" s="40">
        <v>87771.19</v>
      </c>
    </row>
    <row r="482" spans="1:10">
      <c r="A482" s="39" t="s">
        <v>1207</v>
      </c>
      <c r="B482" s="39" t="s">
        <v>1208</v>
      </c>
      <c r="C482" s="39" t="s">
        <v>872</v>
      </c>
      <c r="D482" s="39" t="s">
        <v>169</v>
      </c>
      <c r="E482" s="39" t="s">
        <v>1209</v>
      </c>
      <c r="F482" s="34">
        <v>-306816.56</v>
      </c>
      <c r="G482" s="40">
        <f t="shared" si="7"/>
        <v>-306817</v>
      </c>
      <c r="H482" s="40"/>
      <c r="J482" s="3">
        <f>+G462+G463+G464+G465+G466+G467+G468+G469+G482+G492+G502+G580+G586+G595+G356+H497+G408+H408+H477+H481+H500+1</f>
        <v>-2345543.58</v>
      </c>
    </row>
    <row r="483" spans="1:10">
      <c r="A483" s="39" t="s">
        <v>1210</v>
      </c>
      <c r="B483" s="39" t="s">
        <v>1211</v>
      </c>
      <c r="C483" s="39" t="s">
        <v>872</v>
      </c>
      <c r="D483" s="39" t="s">
        <v>157</v>
      </c>
      <c r="E483" s="39" t="s">
        <v>100</v>
      </c>
      <c r="F483" s="34">
        <v>0</v>
      </c>
      <c r="G483" s="40">
        <f t="shared" si="7"/>
        <v>0</v>
      </c>
      <c r="H483" s="40"/>
    </row>
    <row r="484" spans="1:10">
      <c r="A484" s="39" t="s">
        <v>1212</v>
      </c>
      <c r="B484" s="39" t="s">
        <v>1213</v>
      </c>
      <c r="C484" s="39" t="s">
        <v>872</v>
      </c>
      <c r="D484" s="39" t="s">
        <v>162</v>
      </c>
      <c r="E484" s="39" t="s">
        <v>100</v>
      </c>
      <c r="F484" s="34">
        <v>30944</v>
      </c>
      <c r="G484" s="40">
        <f t="shared" si="7"/>
        <v>30944</v>
      </c>
      <c r="H484" s="40"/>
    </row>
    <row r="485" spans="1:10">
      <c r="A485" s="39" t="s">
        <v>1214</v>
      </c>
      <c r="B485" s="39" t="s">
        <v>1215</v>
      </c>
      <c r="C485" s="39" t="s">
        <v>872</v>
      </c>
      <c r="D485" s="39" t="s">
        <v>162</v>
      </c>
      <c r="E485" s="39" t="s">
        <v>100</v>
      </c>
      <c r="F485" s="34">
        <v>8758</v>
      </c>
      <c r="G485" s="40">
        <f t="shared" si="7"/>
        <v>8758</v>
      </c>
      <c r="H485" s="40"/>
    </row>
    <row r="486" spans="1:10">
      <c r="A486" s="39" t="s">
        <v>1216</v>
      </c>
      <c r="B486" s="39" t="s">
        <v>1217</v>
      </c>
      <c r="C486" s="39" t="s">
        <v>872</v>
      </c>
      <c r="D486" s="39" t="s">
        <v>162</v>
      </c>
      <c r="E486" s="39" t="s">
        <v>100</v>
      </c>
      <c r="F486" s="34">
        <v>-19654.830000000002</v>
      </c>
      <c r="G486" s="40">
        <f t="shared" si="7"/>
        <v>-19655</v>
      </c>
      <c r="H486" s="40"/>
    </row>
    <row r="487" spans="1:10">
      <c r="A487" s="39" t="s">
        <v>1218</v>
      </c>
      <c r="B487" s="39" t="s">
        <v>1219</v>
      </c>
      <c r="C487" s="39" t="s">
        <v>872</v>
      </c>
      <c r="D487" s="39" t="s">
        <v>162</v>
      </c>
      <c r="E487" s="39" t="s">
        <v>100</v>
      </c>
      <c r="F487" s="34">
        <v>-25110.04</v>
      </c>
      <c r="G487" s="40">
        <f t="shared" si="7"/>
        <v>-25110</v>
      </c>
      <c r="H487" s="40"/>
    </row>
    <row r="488" spans="1:10">
      <c r="A488" s="39" t="s">
        <v>1220</v>
      </c>
      <c r="B488" s="39" t="s">
        <v>1221</v>
      </c>
      <c r="C488" s="39" t="s">
        <v>872</v>
      </c>
      <c r="D488" s="39" t="s">
        <v>162</v>
      </c>
      <c r="E488" s="39" t="s">
        <v>100</v>
      </c>
      <c r="F488" s="34">
        <v>-15250.87</v>
      </c>
      <c r="G488" s="40">
        <f t="shared" si="7"/>
        <v>-15251</v>
      </c>
      <c r="H488" s="40"/>
    </row>
    <row r="489" spans="1:10">
      <c r="A489" s="39" t="s">
        <v>1222</v>
      </c>
      <c r="B489" s="39" t="s">
        <v>1223</v>
      </c>
      <c r="C489" s="39" t="s">
        <v>872</v>
      </c>
      <c r="D489" s="39" t="s">
        <v>162</v>
      </c>
      <c r="E489" s="39" t="s">
        <v>100</v>
      </c>
      <c r="F489" s="34">
        <v>-129532.53</v>
      </c>
      <c r="G489" s="40">
        <f t="shared" si="7"/>
        <v>-129533</v>
      </c>
      <c r="H489" s="40"/>
    </row>
    <row r="490" spans="1:10">
      <c r="A490" s="39" t="s">
        <v>1224</v>
      </c>
      <c r="B490" s="39" t="s">
        <v>1225</v>
      </c>
      <c r="C490" s="39" t="s">
        <v>872</v>
      </c>
      <c r="D490" s="39" t="s">
        <v>162</v>
      </c>
      <c r="E490" s="39" t="s">
        <v>100</v>
      </c>
      <c r="F490" s="34">
        <v>0</v>
      </c>
      <c r="G490" s="40">
        <f t="shared" si="7"/>
        <v>0</v>
      </c>
      <c r="H490" s="40"/>
    </row>
    <row r="491" spans="1:10">
      <c r="A491" s="39" t="s">
        <v>1226</v>
      </c>
      <c r="B491" s="39" t="s">
        <v>1227</v>
      </c>
      <c r="C491" s="39" t="s">
        <v>872</v>
      </c>
      <c r="D491" s="39" t="s">
        <v>162</v>
      </c>
      <c r="E491" s="39" t="s">
        <v>100</v>
      </c>
      <c r="F491" s="34">
        <v>6617</v>
      </c>
      <c r="G491" s="40">
        <f t="shared" si="7"/>
        <v>6617</v>
      </c>
      <c r="H491" s="40"/>
    </row>
    <row r="492" spans="1:10">
      <c r="A492" s="39" t="s">
        <v>1228</v>
      </c>
      <c r="B492" s="39" t="s">
        <v>1229</v>
      </c>
      <c r="C492" s="39" t="s">
        <v>872</v>
      </c>
      <c r="D492" s="39" t="s">
        <v>169</v>
      </c>
      <c r="E492" s="39" t="s">
        <v>1230</v>
      </c>
      <c r="F492" s="34">
        <v>-143229.26999999999</v>
      </c>
      <c r="G492" s="40">
        <f t="shared" si="7"/>
        <v>-143229</v>
      </c>
      <c r="H492" s="40"/>
    </row>
    <row r="493" spans="1:10">
      <c r="A493" s="39" t="s">
        <v>1231</v>
      </c>
      <c r="B493" s="39" t="s">
        <v>1232</v>
      </c>
      <c r="C493" s="39" t="s">
        <v>872</v>
      </c>
      <c r="D493" s="39" t="s">
        <v>157</v>
      </c>
      <c r="E493" s="39" t="s">
        <v>100</v>
      </c>
      <c r="F493" s="34">
        <v>0</v>
      </c>
      <c r="G493" s="40">
        <f t="shared" si="7"/>
        <v>0</v>
      </c>
      <c r="H493" s="40"/>
    </row>
    <row r="494" spans="1:10">
      <c r="A494" s="39" t="s">
        <v>1233</v>
      </c>
      <c r="B494" s="39" t="s">
        <v>1234</v>
      </c>
      <c r="C494" s="39" t="s">
        <v>872</v>
      </c>
      <c r="D494" s="39" t="s">
        <v>162</v>
      </c>
      <c r="E494" s="39" t="s">
        <v>100</v>
      </c>
      <c r="F494" s="34">
        <v>-3933.85</v>
      </c>
      <c r="G494" s="40">
        <f t="shared" si="7"/>
        <v>-3934</v>
      </c>
      <c r="H494" s="40"/>
    </row>
    <row r="495" spans="1:10">
      <c r="A495" s="39" t="s">
        <v>1235</v>
      </c>
      <c r="B495" s="39" t="s">
        <v>1236</v>
      </c>
      <c r="C495" s="39" t="s">
        <v>872</v>
      </c>
      <c r="D495" s="39" t="s">
        <v>162</v>
      </c>
      <c r="E495" s="39" t="s">
        <v>100</v>
      </c>
      <c r="F495" s="34">
        <v>-440.33</v>
      </c>
      <c r="G495" s="40">
        <f t="shared" si="7"/>
        <v>-440</v>
      </c>
      <c r="H495" s="40"/>
    </row>
    <row r="496" spans="1:10">
      <c r="A496" s="39" t="s">
        <v>1237</v>
      </c>
      <c r="B496" s="39" t="s">
        <v>1238</v>
      </c>
      <c r="C496" s="39" t="s">
        <v>872</v>
      </c>
      <c r="D496" s="39" t="s">
        <v>162</v>
      </c>
      <c r="E496" s="39" t="s">
        <v>100</v>
      </c>
      <c r="F496" s="34">
        <v>-1675.92</v>
      </c>
      <c r="G496" s="40">
        <f t="shared" si="7"/>
        <v>-1676</v>
      </c>
      <c r="H496" s="40"/>
    </row>
    <row r="497" spans="1:8">
      <c r="A497" s="39" t="s">
        <v>1239</v>
      </c>
      <c r="B497" s="39" t="s">
        <v>1240</v>
      </c>
      <c r="C497" s="39" t="s">
        <v>872</v>
      </c>
      <c r="D497" s="39" t="s">
        <v>162</v>
      </c>
      <c r="E497" s="39" t="s">
        <v>100</v>
      </c>
      <c r="F497" s="34">
        <v>-155666.53</v>
      </c>
      <c r="G497" s="40">
        <f t="shared" si="7"/>
        <v>-155667</v>
      </c>
      <c r="H497" s="40">
        <v>-3469</v>
      </c>
    </row>
    <row r="498" spans="1:8">
      <c r="A498" s="39" t="s">
        <v>1241</v>
      </c>
      <c r="B498" s="39" t="s">
        <v>2207</v>
      </c>
      <c r="C498" s="39" t="s">
        <v>872</v>
      </c>
      <c r="D498" s="39" t="s">
        <v>162</v>
      </c>
      <c r="E498" s="39" t="s">
        <v>100</v>
      </c>
      <c r="F498" s="34">
        <v>-274844.09000000003</v>
      </c>
      <c r="G498" s="40">
        <f t="shared" si="7"/>
        <v>-274844</v>
      </c>
      <c r="H498" s="40"/>
    </row>
    <row r="499" spans="1:8">
      <c r="A499" s="39" t="s">
        <v>1243</v>
      </c>
      <c r="B499" s="39" t="s">
        <v>1244</v>
      </c>
      <c r="C499" s="39" t="s">
        <v>872</v>
      </c>
      <c r="D499" s="39" t="s">
        <v>162</v>
      </c>
      <c r="E499" s="39" t="s">
        <v>100</v>
      </c>
      <c r="F499" s="34">
        <v>0</v>
      </c>
      <c r="G499" s="40">
        <f t="shared" si="7"/>
        <v>0</v>
      </c>
      <c r="H499" s="40"/>
    </row>
    <row r="500" spans="1:8">
      <c r="A500" s="39" t="s">
        <v>1245</v>
      </c>
      <c r="B500" s="39" t="s">
        <v>1246</v>
      </c>
      <c r="C500" s="39" t="s">
        <v>872</v>
      </c>
      <c r="D500" s="39" t="s">
        <v>162</v>
      </c>
      <c r="E500" s="39" t="s">
        <v>100</v>
      </c>
      <c r="F500" s="34">
        <v>-57383.26</v>
      </c>
      <c r="G500" s="40">
        <f t="shared" si="7"/>
        <v>-57383</v>
      </c>
      <c r="H500" s="40">
        <f>-100000+50000</f>
        <v>-50000</v>
      </c>
    </row>
    <row r="501" spans="1:8">
      <c r="A501" s="39" t="s">
        <v>1247</v>
      </c>
      <c r="B501" s="39" t="s">
        <v>1248</v>
      </c>
      <c r="C501" s="39" t="s">
        <v>872</v>
      </c>
      <c r="D501" s="39" t="s">
        <v>162</v>
      </c>
      <c r="E501" s="39" t="s">
        <v>100</v>
      </c>
      <c r="F501" s="34">
        <v>0</v>
      </c>
      <c r="G501" s="40">
        <f t="shared" si="7"/>
        <v>0</v>
      </c>
      <c r="H501" s="40"/>
    </row>
    <row r="502" spans="1:8">
      <c r="A502" s="39" t="s">
        <v>1249</v>
      </c>
      <c r="B502" s="39" t="s">
        <v>1250</v>
      </c>
      <c r="C502" s="39" t="s">
        <v>872</v>
      </c>
      <c r="D502" s="39" t="s">
        <v>169</v>
      </c>
      <c r="E502" s="39" t="s">
        <v>1251</v>
      </c>
      <c r="F502" s="34">
        <v>-493943.98</v>
      </c>
      <c r="G502" s="40">
        <f t="shared" si="7"/>
        <v>-493944</v>
      </c>
      <c r="H502" s="40"/>
    </row>
    <row r="503" spans="1:8">
      <c r="A503" s="39" t="s">
        <v>1252</v>
      </c>
      <c r="B503" s="39" t="s">
        <v>1253</v>
      </c>
      <c r="C503" s="39" t="s">
        <v>156</v>
      </c>
      <c r="D503" s="39" t="s">
        <v>157</v>
      </c>
      <c r="E503" s="39" t="s">
        <v>100</v>
      </c>
      <c r="F503" s="34">
        <v>0</v>
      </c>
      <c r="G503" s="40">
        <f t="shared" si="7"/>
        <v>0</v>
      </c>
      <c r="H503" s="40"/>
    </row>
    <row r="504" spans="1:8">
      <c r="A504" s="39" t="s">
        <v>1254</v>
      </c>
      <c r="B504" s="39" t="s">
        <v>155</v>
      </c>
      <c r="C504" s="39" t="s">
        <v>156</v>
      </c>
      <c r="D504" s="39" t="s">
        <v>157</v>
      </c>
      <c r="E504" s="39" t="s">
        <v>100</v>
      </c>
      <c r="F504" s="34">
        <v>0</v>
      </c>
      <c r="G504" s="40">
        <f t="shared" si="7"/>
        <v>0</v>
      </c>
      <c r="H504" s="40"/>
    </row>
    <row r="505" spans="1:8">
      <c r="A505" s="39" t="s">
        <v>1255</v>
      </c>
      <c r="B505" s="39" t="s">
        <v>1256</v>
      </c>
      <c r="C505" s="39" t="s">
        <v>156</v>
      </c>
      <c r="D505" s="39" t="s">
        <v>157</v>
      </c>
      <c r="E505" s="39" t="s">
        <v>100</v>
      </c>
      <c r="F505" s="34">
        <v>0</v>
      </c>
      <c r="G505" s="40">
        <f t="shared" si="7"/>
        <v>0</v>
      </c>
      <c r="H505" s="40"/>
    </row>
    <row r="506" spans="1:8">
      <c r="A506" s="39" t="s">
        <v>1257</v>
      </c>
      <c r="B506" s="39" t="s">
        <v>1258</v>
      </c>
      <c r="C506" s="39" t="s">
        <v>156</v>
      </c>
      <c r="D506" s="39" t="s">
        <v>162</v>
      </c>
      <c r="E506" s="39" t="s">
        <v>100</v>
      </c>
      <c r="F506" s="34">
        <v>0</v>
      </c>
      <c r="G506" s="40">
        <f t="shared" si="7"/>
        <v>0</v>
      </c>
      <c r="H506" s="40"/>
    </row>
    <row r="507" spans="1:8">
      <c r="A507" s="39" t="s">
        <v>1259</v>
      </c>
      <c r="B507" s="39" t="s">
        <v>1260</v>
      </c>
      <c r="C507" s="39" t="s">
        <v>156</v>
      </c>
      <c r="D507" s="39" t="s">
        <v>162</v>
      </c>
      <c r="E507" s="39" t="s">
        <v>100</v>
      </c>
      <c r="F507" s="34">
        <v>0</v>
      </c>
      <c r="G507" s="40">
        <f t="shared" si="7"/>
        <v>0</v>
      </c>
      <c r="H507" s="40"/>
    </row>
    <row r="508" spans="1:8">
      <c r="A508" s="39" t="s">
        <v>1261</v>
      </c>
      <c r="B508" s="39" t="s">
        <v>2284</v>
      </c>
      <c r="C508" s="39" t="s">
        <v>156</v>
      </c>
      <c r="D508" s="39" t="s">
        <v>162</v>
      </c>
      <c r="E508" s="39" t="s">
        <v>100</v>
      </c>
      <c r="F508" s="34">
        <v>0</v>
      </c>
      <c r="G508" s="40">
        <f t="shared" si="7"/>
        <v>0</v>
      </c>
      <c r="H508" s="40"/>
    </row>
    <row r="509" spans="1:8">
      <c r="A509" s="39" t="s">
        <v>1263</v>
      </c>
      <c r="B509" s="39" t="s">
        <v>1264</v>
      </c>
      <c r="C509" s="39" t="s">
        <v>156</v>
      </c>
      <c r="D509" s="39" t="s">
        <v>162</v>
      </c>
      <c r="E509" s="39" t="s">
        <v>100</v>
      </c>
      <c r="F509" s="34">
        <v>0</v>
      </c>
      <c r="G509" s="40">
        <f t="shared" si="7"/>
        <v>0</v>
      </c>
      <c r="H509" s="40"/>
    </row>
    <row r="510" spans="1:8">
      <c r="A510" s="39" t="s">
        <v>1265</v>
      </c>
      <c r="B510" s="39" t="s">
        <v>2285</v>
      </c>
      <c r="C510" s="39" t="s">
        <v>156</v>
      </c>
      <c r="D510" s="39" t="s">
        <v>162</v>
      </c>
      <c r="E510" s="39" t="s">
        <v>100</v>
      </c>
      <c r="F510" s="34">
        <v>0</v>
      </c>
      <c r="G510" s="40">
        <f t="shared" si="7"/>
        <v>0</v>
      </c>
      <c r="H510" s="40"/>
    </row>
    <row r="511" spans="1:8">
      <c r="A511" s="39" t="s">
        <v>1267</v>
      </c>
      <c r="B511" s="39" t="s">
        <v>1268</v>
      </c>
      <c r="C511" s="39" t="s">
        <v>156</v>
      </c>
      <c r="D511" s="39" t="s">
        <v>162</v>
      </c>
      <c r="E511" s="39" t="s">
        <v>100</v>
      </c>
      <c r="F511" s="34">
        <v>0</v>
      </c>
      <c r="G511" s="40">
        <f t="shared" si="7"/>
        <v>0</v>
      </c>
      <c r="H511" s="40"/>
    </row>
    <row r="512" spans="1:8">
      <c r="A512" s="39" t="s">
        <v>1269</v>
      </c>
      <c r="B512" s="39" t="s">
        <v>1270</v>
      </c>
      <c r="C512" s="39" t="s">
        <v>156</v>
      </c>
      <c r="D512" s="39" t="s">
        <v>169</v>
      </c>
      <c r="E512" s="39" t="s">
        <v>1271</v>
      </c>
      <c r="F512" s="34">
        <v>0</v>
      </c>
      <c r="G512" s="40">
        <f t="shared" si="7"/>
        <v>0</v>
      </c>
      <c r="H512" s="40"/>
    </row>
    <row r="513" spans="1:8">
      <c r="A513" s="39" t="s">
        <v>1272</v>
      </c>
      <c r="B513" s="39" t="s">
        <v>189</v>
      </c>
      <c r="C513" s="39" t="s">
        <v>156</v>
      </c>
      <c r="D513" s="39" t="s">
        <v>157</v>
      </c>
      <c r="E513" s="39" t="s">
        <v>100</v>
      </c>
      <c r="F513" s="34">
        <v>0</v>
      </c>
      <c r="G513" s="40">
        <f t="shared" si="7"/>
        <v>0</v>
      </c>
      <c r="H513" s="40"/>
    </row>
    <row r="514" spans="1:8">
      <c r="A514" s="39" t="s">
        <v>1273</v>
      </c>
      <c r="B514" s="39" t="s">
        <v>1110</v>
      </c>
      <c r="C514" s="39" t="s">
        <v>156</v>
      </c>
      <c r="D514" s="39" t="s">
        <v>162</v>
      </c>
      <c r="E514" s="39" t="s">
        <v>100</v>
      </c>
      <c r="F514" s="34">
        <v>0</v>
      </c>
      <c r="G514" s="40">
        <f t="shared" si="7"/>
        <v>0</v>
      </c>
      <c r="H514" s="40"/>
    </row>
    <row r="515" spans="1:8">
      <c r="A515" s="39" t="s">
        <v>1274</v>
      </c>
      <c r="B515" s="39" t="s">
        <v>1275</v>
      </c>
      <c r="C515" s="39" t="s">
        <v>156</v>
      </c>
      <c r="D515" s="39" t="s">
        <v>162</v>
      </c>
      <c r="E515" s="39" t="s">
        <v>100</v>
      </c>
      <c r="F515" s="34">
        <v>0</v>
      </c>
      <c r="G515" s="40">
        <f t="shared" si="7"/>
        <v>0</v>
      </c>
      <c r="H515" s="40"/>
    </row>
    <row r="516" spans="1:8">
      <c r="A516" s="39" t="s">
        <v>1276</v>
      </c>
      <c r="B516" s="39" t="s">
        <v>1277</v>
      </c>
      <c r="C516" s="39" t="s">
        <v>156</v>
      </c>
      <c r="D516" s="39" t="s">
        <v>162</v>
      </c>
      <c r="E516" s="39" t="s">
        <v>100</v>
      </c>
      <c r="F516" s="34">
        <v>0</v>
      </c>
      <c r="G516" s="40">
        <f t="shared" si="7"/>
        <v>0</v>
      </c>
      <c r="H516" s="40"/>
    </row>
    <row r="517" spans="1:8">
      <c r="A517" s="39" t="s">
        <v>1278</v>
      </c>
      <c r="B517" s="39" t="s">
        <v>1279</v>
      </c>
      <c r="C517" s="39" t="s">
        <v>156</v>
      </c>
      <c r="D517" s="39" t="s">
        <v>162</v>
      </c>
      <c r="E517" s="39" t="s">
        <v>100</v>
      </c>
      <c r="F517" s="34">
        <v>0</v>
      </c>
      <c r="G517" s="40">
        <f t="shared" si="7"/>
        <v>0</v>
      </c>
      <c r="H517" s="40"/>
    </row>
    <row r="518" spans="1:8">
      <c r="A518" s="39" t="s">
        <v>1280</v>
      </c>
      <c r="B518" s="39" t="s">
        <v>2268</v>
      </c>
      <c r="C518" s="39" t="s">
        <v>156</v>
      </c>
      <c r="D518" s="39" t="s">
        <v>162</v>
      </c>
      <c r="E518" s="39" t="s">
        <v>100</v>
      </c>
      <c r="F518" s="34">
        <v>0</v>
      </c>
      <c r="G518" s="40">
        <f t="shared" ref="G518:G581" si="8">ROUND(F518,0)</f>
        <v>0</v>
      </c>
      <c r="H518" s="40"/>
    </row>
    <row r="519" spans="1:8">
      <c r="A519" s="39" t="s">
        <v>1282</v>
      </c>
      <c r="B519" s="39" t="s">
        <v>251</v>
      </c>
      <c r="C519" s="39" t="s">
        <v>156</v>
      </c>
      <c r="D519" s="39" t="s">
        <v>169</v>
      </c>
      <c r="E519" s="39" t="s">
        <v>1283</v>
      </c>
      <c r="F519" s="34">
        <v>0</v>
      </c>
      <c r="G519" s="40">
        <f t="shared" si="8"/>
        <v>0</v>
      </c>
      <c r="H519" s="40"/>
    </row>
    <row r="520" spans="1:8">
      <c r="A520" s="39" t="s">
        <v>1284</v>
      </c>
      <c r="B520" s="39" t="s">
        <v>278</v>
      </c>
      <c r="C520" s="39" t="s">
        <v>156</v>
      </c>
      <c r="D520" s="39" t="s">
        <v>169</v>
      </c>
      <c r="E520" s="39" t="s">
        <v>1285</v>
      </c>
      <c r="F520" s="34">
        <v>0</v>
      </c>
      <c r="G520" s="40">
        <f t="shared" si="8"/>
        <v>0</v>
      </c>
      <c r="H520" s="40"/>
    </row>
    <row r="521" spans="1:8">
      <c r="A521" s="39" t="s">
        <v>1286</v>
      </c>
      <c r="B521" s="39" t="s">
        <v>281</v>
      </c>
      <c r="C521" s="39" t="s">
        <v>156</v>
      </c>
      <c r="D521" s="39" t="s">
        <v>157</v>
      </c>
      <c r="E521" s="39" t="s">
        <v>100</v>
      </c>
      <c r="F521" s="34">
        <v>0</v>
      </c>
      <c r="G521" s="40">
        <f t="shared" si="8"/>
        <v>0</v>
      </c>
      <c r="H521" s="40"/>
    </row>
    <row r="522" spans="1:8">
      <c r="A522" s="39" t="s">
        <v>1287</v>
      </c>
      <c r="B522" s="39" t="s">
        <v>1288</v>
      </c>
      <c r="C522" s="39" t="s">
        <v>156</v>
      </c>
      <c r="D522" s="39" t="s">
        <v>157</v>
      </c>
      <c r="E522" s="39" t="s">
        <v>100</v>
      </c>
      <c r="F522" s="34">
        <v>0</v>
      </c>
      <c r="G522" s="40">
        <f t="shared" si="8"/>
        <v>0</v>
      </c>
      <c r="H522" s="40"/>
    </row>
    <row r="523" spans="1:8">
      <c r="A523" s="39" t="s">
        <v>1289</v>
      </c>
      <c r="B523" s="39" t="s">
        <v>47</v>
      </c>
      <c r="C523" s="39" t="s">
        <v>156</v>
      </c>
      <c r="D523" s="39" t="s">
        <v>162</v>
      </c>
      <c r="E523" s="39" t="s">
        <v>100</v>
      </c>
      <c r="F523" s="34">
        <v>0</v>
      </c>
      <c r="G523" s="40">
        <f t="shared" si="8"/>
        <v>0</v>
      </c>
      <c r="H523" s="40"/>
    </row>
    <row r="524" spans="1:8">
      <c r="A524" s="39" t="s">
        <v>1290</v>
      </c>
      <c r="B524" s="39" t="s">
        <v>1219</v>
      </c>
      <c r="C524" s="39" t="s">
        <v>156</v>
      </c>
      <c r="D524" s="39" t="s">
        <v>162</v>
      </c>
      <c r="E524" s="39" t="s">
        <v>100</v>
      </c>
      <c r="F524" s="34">
        <v>0</v>
      </c>
      <c r="G524" s="40">
        <f t="shared" si="8"/>
        <v>0</v>
      </c>
      <c r="H524" s="40"/>
    </row>
    <row r="525" spans="1:8">
      <c r="A525" s="39" t="s">
        <v>1292</v>
      </c>
      <c r="B525" s="39" t="s">
        <v>1293</v>
      </c>
      <c r="C525" s="39" t="s">
        <v>156</v>
      </c>
      <c r="D525" s="39" t="s">
        <v>162</v>
      </c>
      <c r="E525" s="39" t="s">
        <v>100</v>
      </c>
      <c r="F525" s="34">
        <v>0</v>
      </c>
      <c r="G525" s="40">
        <f t="shared" si="8"/>
        <v>0</v>
      </c>
      <c r="H525" s="40"/>
    </row>
    <row r="526" spans="1:8">
      <c r="A526" s="39" t="s">
        <v>1294</v>
      </c>
      <c r="B526" s="39" t="s">
        <v>1295</v>
      </c>
      <c r="C526" s="39" t="s">
        <v>156</v>
      </c>
      <c r="D526" s="39" t="s">
        <v>162</v>
      </c>
      <c r="E526" s="39" t="s">
        <v>100</v>
      </c>
      <c r="F526" s="34">
        <v>0</v>
      </c>
      <c r="G526" s="40">
        <f t="shared" si="8"/>
        <v>0</v>
      </c>
      <c r="H526" s="40"/>
    </row>
    <row r="527" spans="1:8">
      <c r="A527" s="39" t="s">
        <v>1296</v>
      </c>
      <c r="B527" s="39" t="s">
        <v>1297</v>
      </c>
      <c r="C527" s="39" t="s">
        <v>156</v>
      </c>
      <c r="D527" s="39" t="s">
        <v>162</v>
      </c>
      <c r="E527" s="39" t="s">
        <v>100</v>
      </c>
      <c r="F527" s="34">
        <v>0</v>
      </c>
      <c r="G527" s="40">
        <f t="shared" si="8"/>
        <v>0</v>
      </c>
      <c r="H527" s="40"/>
    </row>
    <row r="528" spans="1:8">
      <c r="A528" s="39" t="s">
        <v>1298</v>
      </c>
      <c r="B528" s="39" t="s">
        <v>1299</v>
      </c>
      <c r="C528" s="39" t="s">
        <v>156</v>
      </c>
      <c r="D528" s="39" t="s">
        <v>162</v>
      </c>
      <c r="E528" s="39" t="s">
        <v>100</v>
      </c>
      <c r="F528" s="34">
        <v>0</v>
      </c>
      <c r="G528" s="40">
        <f t="shared" si="8"/>
        <v>0</v>
      </c>
      <c r="H528" s="40"/>
    </row>
    <row r="529" spans="1:8">
      <c r="A529" s="39" t="s">
        <v>1300</v>
      </c>
      <c r="B529" s="39" t="s">
        <v>1301</v>
      </c>
      <c r="C529" s="39" t="s">
        <v>156</v>
      </c>
      <c r="D529" s="39" t="s">
        <v>162</v>
      </c>
      <c r="E529" s="39" t="s">
        <v>100</v>
      </c>
      <c r="F529" s="34">
        <v>0</v>
      </c>
      <c r="G529" s="40">
        <f t="shared" si="8"/>
        <v>0</v>
      </c>
      <c r="H529" s="40"/>
    </row>
    <row r="530" spans="1:8">
      <c r="A530" s="39" t="s">
        <v>1302</v>
      </c>
      <c r="B530" s="39" t="s">
        <v>1303</v>
      </c>
      <c r="C530" s="39" t="s">
        <v>156</v>
      </c>
      <c r="D530" s="39" t="s">
        <v>162</v>
      </c>
      <c r="E530" s="39" t="s">
        <v>100</v>
      </c>
      <c r="F530" s="34">
        <v>0</v>
      </c>
      <c r="G530" s="40">
        <f t="shared" si="8"/>
        <v>0</v>
      </c>
      <c r="H530" s="40"/>
    </row>
    <row r="531" spans="1:8">
      <c r="A531" s="39" t="s">
        <v>1304</v>
      </c>
      <c r="B531" s="39" t="s">
        <v>664</v>
      </c>
      <c r="C531" s="39" t="s">
        <v>156</v>
      </c>
      <c r="D531" s="39" t="s">
        <v>162</v>
      </c>
      <c r="E531" s="39" t="s">
        <v>100</v>
      </c>
      <c r="F531" s="34">
        <v>0</v>
      </c>
      <c r="G531" s="40">
        <f t="shared" si="8"/>
        <v>0</v>
      </c>
      <c r="H531" s="40"/>
    </row>
    <row r="532" spans="1:8">
      <c r="A532" s="39" t="s">
        <v>1305</v>
      </c>
      <c r="B532" s="39" t="s">
        <v>2286</v>
      </c>
      <c r="C532" s="39" t="s">
        <v>156</v>
      </c>
      <c r="D532" s="39" t="s">
        <v>162</v>
      </c>
      <c r="E532" s="39" t="s">
        <v>100</v>
      </c>
      <c r="F532" s="34">
        <v>0</v>
      </c>
      <c r="G532" s="40">
        <f t="shared" si="8"/>
        <v>0</v>
      </c>
      <c r="H532" s="40"/>
    </row>
    <row r="533" spans="1:8">
      <c r="A533" s="39" t="s">
        <v>1309</v>
      </c>
      <c r="B533" s="39" t="s">
        <v>2287</v>
      </c>
      <c r="C533" s="39" t="s">
        <v>156</v>
      </c>
      <c r="D533" s="39" t="s">
        <v>162</v>
      </c>
      <c r="E533" s="39" t="s">
        <v>100</v>
      </c>
      <c r="F533" s="34">
        <v>0</v>
      </c>
      <c r="G533" s="40">
        <f t="shared" si="8"/>
        <v>0</v>
      </c>
      <c r="H533" s="40"/>
    </row>
    <row r="534" spans="1:8">
      <c r="A534" s="39" t="s">
        <v>1311</v>
      </c>
      <c r="B534" s="39" t="s">
        <v>1310</v>
      </c>
      <c r="C534" s="39" t="s">
        <v>156</v>
      </c>
      <c r="D534" s="39" t="s">
        <v>162</v>
      </c>
      <c r="E534" s="39" t="s">
        <v>100</v>
      </c>
      <c r="F534" s="34">
        <v>0</v>
      </c>
      <c r="G534" s="40">
        <f t="shared" si="8"/>
        <v>0</v>
      </c>
      <c r="H534" s="40"/>
    </row>
    <row r="535" spans="1:8">
      <c r="A535" s="39" t="s">
        <v>1313</v>
      </c>
      <c r="B535" s="39" t="s">
        <v>1314</v>
      </c>
      <c r="C535" s="39" t="s">
        <v>156</v>
      </c>
      <c r="D535" s="39" t="s">
        <v>162</v>
      </c>
      <c r="E535" s="39" t="s">
        <v>100</v>
      </c>
      <c r="F535" s="34">
        <v>0</v>
      </c>
      <c r="G535" s="40">
        <f t="shared" si="8"/>
        <v>0</v>
      </c>
      <c r="H535" s="40"/>
    </row>
    <row r="536" spans="1:8">
      <c r="A536" s="39" t="s">
        <v>1315</v>
      </c>
      <c r="B536" s="39" t="s">
        <v>1316</v>
      </c>
      <c r="C536" s="39" t="s">
        <v>156</v>
      </c>
      <c r="D536" s="39" t="s">
        <v>162</v>
      </c>
      <c r="E536" s="39" t="s">
        <v>100</v>
      </c>
      <c r="F536" s="34">
        <v>0</v>
      </c>
      <c r="G536" s="40">
        <f t="shared" si="8"/>
        <v>0</v>
      </c>
      <c r="H536" s="40"/>
    </row>
    <row r="537" spans="1:8">
      <c r="A537" s="39" t="s">
        <v>1317</v>
      </c>
      <c r="B537" s="39" t="s">
        <v>88</v>
      </c>
      <c r="C537" s="39" t="s">
        <v>156</v>
      </c>
      <c r="D537" s="39" t="s">
        <v>162</v>
      </c>
      <c r="E537" s="39" t="s">
        <v>100</v>
      </c>
      <c r="F537" s="34">
        <v>0</v>
      </c>
      <c r="G537" s="40">
        <f t="shared" si="8"/>
        <v>0</v>
      </c>
      <c r="H537" s="40"/>
    </row>
    <row r="538" spans="1:8">
      <c r="A538" s="39" t="s">
        <v>1319</v>
      </c>
      <c r="B538" s="39" t="s">
        <v>1320</v>
      </c>
      <c r="C538" s="39" t="s">
        <v>156</v>
      </c>
      <c r="D538" s="39" t="s">
        <v>169</v>
      </c>
      <c r="E538" s="39" t="s">
        <v>1321</v>
      </c>
      <c r="F538" s="34">
        <v>0</v>
      </c>
      <c r="G538" s="40">
        <f t="shared" si="8"/>
        <v>0</v>
      </c>
      <c r="H538" s="40"/>
    </row>
    <row r="539" spans="1:8">
      <c r="A539" s="39" t="s">
        <v>1322</v>
      </c>
      <c r="B539" s="39" t="s">
        <v>1323</v>
      </c>
      <c r="C539" s="39" t="s">
        <v>156</v>
      </c>
      <c r="D539" s="39" t="s">
        <v>157</v>
      </c>
      <c r="E539" s="39" t="s">
        <v>100</v>
      </c>
      <c r="F539" s="34">
        <v>0</v>
      </c>
      <c r="G539" s="40">
        <f t="shared" si="8"/>
        <v>0</v>
      </c>
      <c r="H539" s="40"/>
    </row>
    <row r="540" spans="1:8">
      <c r="A540" s="39" t="s">
        <v>1324</v>
      </c>
      <c r="B540" s="39" t="s">
        <v>1325</v>
      </c>
      <c r="C540" s="39" t="s">
        <v>156</v>
      </c>
      <c r="D540" s="39" t="s">
        <v>162</v>
      </c>
      <c r="E540" s="39" t="s">
        <v>100</v>
      </c>
      <c r="F540" s="34">
        <v>0</v>
      </c>
      <c r="G540" s="40">
        <f t="shared" si="8"/>
        <v>0</v>
      </c>
      <c r="H540" s="40"/>
    </row>
    <row r="541" spans="1:8">
      <c r="A541" s="39" t="s">
        <v>1326</v>
      </c>
      <c r="B541" s="39" t="s">
        <v>1327</v>
      </c>
      <c r="C541" s="39" t="s">
        <v>156</v>
      </c>
      <c r="D541" s="39" t="s">
        <v>162</v>
      </c>
      <c r="E541" s="39" t="s">
        <v>100</v>
      </c>
      <c r="F541" s="34">
        <v>0</v>
      </c>
      <c r="G541" s="40">
        <f t="shared" si="8"/>
        <v>0</v>
      </c>
      <c r="H541" s="40"/>
    </row>
    <row r="542" spans="1:8">
      <c r="A542" s="39" t="s">
        <v>1328</v>
      </c>
      <c r="B542" s="39" t="s">
        <v>2288</v>
      </c>
      <c r="C542" s="39" t="s">
        <v>156</v>
      </c>
      <c r="D542" s="39" t="s">
        <v>162</v>
      </c>
      <c r="E542" s="39" t="s">
        <v>100</v>
      </c>
      <c r="F542" s="34">
        <v>0</v>
      </c>
      <c r="G542" s="40">
        <f t="shared" si="8"/>
        <v>0</v>
      </c>
      <c r="H542" s="40"/>
    </row>
    <row r="543" spans="1:8">
      <c r="A543" s="39" t="s">
        <v>1330</v>
      </c>
      <c r="B543" s="39" t="s">
        <v>2289</v>
      </c>
      <c r="C543" s="39" t="s">
        <v>156</v>
      </c>
      <c r="D543" s="39" t="s">
        <v>162</v>
      </c>
      <c r="E543" s="39" t="s">
        <v>100</v>
      </c>
      <c r="F543" s="34">
        <v>0</v>
      </c>
      <c r="G543" s="40">
        <f t="shared" si="8"/>
        <v>0</v>
      </c>
      <c r="H543" s="40"/>
    </row>
    <row r="544" spans="1:8">
      <c r="A544" s="39" t="s">
        <v>1332</v>
      </c>
      <c r="B544" s="39" t="s">
        <v>1333</v>
      </c>
      <c r="C544" s="39" t="s">
        <v>156</v>
      </c>
      <c r="D544" s="39" t="s">
        <v>169</v>
      </c>
      <c r="E544" s="39" t="s">
        <v>1334</v>
      </c>
      <c r="F544" s="34">
        <v>0</v>
      </c>
      <c r="G544" s="40">
        <f t="shared" si="8"/>
        <v>0</v>
      </c>
      <c r="H544" s="40"/>
    </row>
    <row r="545" spans="1:8">
      <c r="A545" s="39" t="s">
        <v>1335</v>
      </c>
      <c r="B545" s="39" t="s">
        <v>1336</v>
      </c>
      <c r="C545" s="39" t="s">
        <v>156</v>
      </c>
      <c r="D545" s="39" t="s">
        <v>157</v>
      </c>
      <c r="E545" s="39" t="s">
        <v>100</v>
      </c>
      <c r="F545" s="34">
        <v>0</v>
      </c>
      <c r="G545" s="40">
        <f t="shared" si="8"/>
        <v>0</v>
      </c>
      <c r="H545" s="40"/>
    </row>
    <row r="546" spans="1:8">
      <c r="A546" s="39" t="s">
        <v>1337</v>
      </c>
      <c r="B546" s="39" t="s">
        <v>1338</v>
      </c>
      <c r="C546" s="39" t="s">
        <v>156</v>
      </c>
      <c r="D546" s="39" t="s">
        <v>162</v>
      </c>
      <c r="E546" s="39" t="s">
        <v>100</v>
      </c>
      <c r="F546" s="34">
        <v>0</v>
      </c>
      <c r="G546" s="40">
        <f t="shared" si="8"/>
        <v>0</v>
      </c>
      <c r="H546" s="40"/>
    </row>
    <row r="547" spans="1:8">
      <c r="A547" s="39" t="s">
        <v>1339</v>
      </c>
      <c r="B547" s="39" t="s">
        <v>1340</v>
      </c>
      <c r="C547" s="39" t="s">
        <v>156</v>
      </c>
      <c r="D547" s="39" t="s">
        <v>162</v>
      </c>
      <c r="E547" s="39" t="s">
        <v>100</v>
      </c>
      <c r="F547" s="34">
        <v>0</v>
      </c>
      <c r="G547" s="40">
        <f t="shared" si="8"/>
        <v>0</v>
      </c>
      <c r="H547" s="40"/>
    </row>
    <row r="548" spans="1:8">
      <c r="A548" s="39" t="s">
        <v>1341</v>
      </c>
      <c r="B548" s="39" t="s">
        <v>1342</v>
      </c>
      <c r="C548" s="39" t="s">
        <v>156</v>
      </c>
      <c r="D548" s="39" t="s">
        <v>162</v>
      </c>
      <c r="E548" s="39" t="s">
        <v>100</v>
      </c>
      <c r="F548" s="34">
        <v>0</v>
      </c>
      <c r="G548" s="40">
        <f t="shared" si="8"/>
        <v>0</v>
      </c>
      <c r="H548" s="40"/>
    </row>
    <row r="549" spans="1:8">
      <c r="A549" s="39" t="s">
        <v>1343</v>
      </c>
      <c r="B549" s="39" t="s">
        <v>1344</v>
      </c>
      <c r="C549" s="39" t="s">
        <v>156</v>
      </c>
      <c r="D549" s="39" t="s">
        <v>162</v>
      </c>
      <c r="E549" s="39" t="s">
        <v>100</v>
      </c>
      <c r="F549" s="34">
        <v>0</v>
      </c>
      <c r="G549" s="40">
        <f t="shared" si="8"/>
        <v>0</v>
      </c>
      <c r="H549" s="40"/>
    </row>
    <row r="550" spans="1:8">
      <c r="A550" s="39" t="s">
        <v>1345</v>
      </c>
      <c r="B550" s="39" t="s">
        <v>1346</v>
      </c>
      <c r="C550" s="39" t="s">
        <v>156</v>
      </c>
      <c r="D550" s="39" t="s">
        <v>162</v>
      </c>
      <c r="E550" s="39" t="s">
        <v>100</v>
      </c>
      <c r="F550" s="34">
        <v>0</v>
      </c>
      <c r="G550" s="40">
        <f t="shared" si="8"/>
        <v>0</v>
      </c>
      <c r="H550" s="40"/>
    </row>
    <row r="551" spans="1:8">
      <c r="A551" s="39" t="s">
        <v>1347</v>
      </c>
      <c r="B551" s="39" t="s">
        <v>1348</v>
      </c>
      <c r="C551" s="39" t="s">
        <v>156</v>
      </c>
      <c r="D551" s="39" t="s">
        <v>162</v>
      </c>
      <c r="E551" s="39" t="s">
        <v>100</v>
      </c>
      <c r="F551" s="34">
        <v>0</v>
      </c>
      <c r="G551" s="40">
        <f t="shared" si="8"/>
        <v>0</v>
      </c>
      <c r="H551" s="40"/>
    </row>
    <row r="552" spans="1:8">
      <c r="A552" s="39" t="s">
        <v>1349</v>
      </c>
      <c r="B552" s="39" t="s">
        <v>1350</v>
      </c>
      <c r="C552" s="39" t="s">
        <v>156</v>
      </c>
      <c r="D552" s="39" t="s">
        <v>162</v>
      </c>
      <c r="E552" s="39" t="s">
        <v>100</v>
      </c>
      <c r="F552" s="34">
        <v>0</v>
      </c>
      <c r="G552" s="40">
        <f t="shared" si="8"/>
        <v>0</v>
      </c>
      <c r="H552" s="40"/>
    </row>
    <row r="553" spans="1:8">
      <c r="A553" s="39" t="s">
        <v>1351</v>
      </c>
      <c r="B553" s="39" t="s">
        <v>1352</v>
      </c>
      <c r="C553" s="39" t="s">
        <v>156</v>
      </c>
      <c r="D553" s="39" t="s">
        <v>162</v>
      </c>
      <c r="E553" s="39" t="s">
        <v>100</v>
      </c>
      <c r="F553" s="34">
        <v>0</v>
      </c>
      <c r="G553" s="40">
        <f t="shared" si="8"/>
        <v>0</v>
      </c>
      <c r="H553" s="40"/>
    </row>
    <row r="554" spans="1:8">
      <c r="A554" s="39" t="s">
        <v>1353</v>
      </c>
      <c r="B554" s="39" t="s">
        <v>1354</v>
      </c>
      <c r="C554" s="39" t="s">
        <v>156</v>
      </c>
      <c r="D554" s="39" t="s">
        <v>162</v>
      </c>
      <c r="E554" s="39" t="s">
        <v>100</v>
      </c>
      <c r="F554" s="34">
        <v>0</v>
      </c>
      <c r="G554" s="40">
        <f t="shared" si="8"/>
        <v>0</v>
      </c>
      <c r="H554" s="40"/>
    </row>
    <row r="555" spans="1:8">
      <c r="A555" s="39" t="s">
        <v>1355</v>
      </c>
      <c r="B555" s="39" t="s">
        <v>1356</v>
      </c>
      <c r="C555" s="39" t="s">
        <v>156</v>
      </c>
      <c r="D555" s="39" t="s">
        <v>162</v>
      </c>
      <c r="E555" s="39" t="s">
        <v>100</v>
      </c>
      <c r="F555" s="34">
        <v>0</v>
      </c>
      <c r="G555" s="40">
        <f t="shared" si="8"/>
        <v>0</v>
      </c>
      <c r="H555" s="40"/>
    </row>
    <row r="556" spans="1:8">
      <c r="A556" s="39" t="s">
        <v>1357</v>
      </c>
      <c r="B556" s="39" t="s">
        <v>1358</v>
      </c>
      <c r="C556" s="39" t="s">
        <v>156</v>
      </c>
      <c r="D556" s="39" t="s">
        <v>162</v>
      </c>
      <c r="E556" s="39" t="s">
        <v>100</v>
      </c>
      <c r="F556" s="34">
        <v>0</v>
      </c>
      <c r="G556" s="40">
        <f t="shared" si="8"/>
        <v>0</v>
      </c>
      <c r="H556" s="40"/>
    </row>
    <row r="557" spans="1:8">
      <c r="A557" s="39" t="s">
        <v>1359</v>
      </c>
      <c r="B557" s="39" t="s">
        <v>1360</v>
      </c>
      <c r="C557" s="39" t="s">
        <v>156</v>
      </c>
      <c r="D557" s="39" t="s">
        <v>162</v>
      </c>
      <c r="E557" s="39" t="s">
        <v>100</v>
      </c>
      <c r="F557" s="34">
        <v>0</v>
      </c>
      <c r="G557" s="40">
        <f t="shared" si="8"/>
        <v>0</v>
      </c>
      <c r="H557" s="40"/>
    </row>
    <row r="558" spans="1:8">
      <c r="A558" s="39" t="s">
        <v>1361</v>
      </c>
      <c r="B558" s="39" t="s">
        <v>1362</v>
      </c>
      <c r="C558" s="39" t="s">
        <v>156</v>
      </c>
      <c r="D558" s="39" t="s">
        <v>162</v>
      </c>
      <c r="E558" s="39" t="s">
        <v>100</v>
      </c>
      <c r="F558" s="34">
        <v>0</v>
      </c>
      <c r="G558" s="40">
        <f t="shared" si="8"/>
        <v>0</v>
      </c>
      <c r="H558" s="40"/>
    </row>
    <row r="559" spans="1:8">
      <c r="A559" s="39" t="s">
        <v>1363</v>
      </c>
      <c r="B559" s="39" t="s">
        <v>1364</v>
      </c>
      <c r="C559" s="39" t="s">
        <v>156</v>
      </c>
      <c r="D559" s="39" t="s">
        <v>162</v>
      </c>
      <c r="E559" s="39" t="s">
        <v>100</v>
      </c>
      <c r="F559" s="34">
        <v>0</v>
      </c>
      <c r="G559" s="40">
        <f t="shared" si="8"/>
        <v>0</v>
      </c>
      <c r="H559" s="40"/>
    </row>
    <row r="560" spans="1:8">
      <c r="A560" s="39" t="s">
        <v>1365</v>
      </c>
      <c r="B560" s="39" t="s">
        <v>2269</v>
      </c>
      <c r="C560" s="39" t="s">
        <v>156</v>
      </c>
      <c r="D560" s="39" t="s">
        <v>162</v>
      </c>
      <c r="E560" s="39" t="s">
        <v>100</v>
      </c>
      <c r="F560" s="34">
        <v>0</v>
      </c>
      <c r="G560" s="40">
        <f t="shared" si="8"/>
        <v>0</v>
      </c>
      <c r="H560" s="40"/>
    </row>
    <row r="561" spans="1:8">
      <c r="A561" s="39" t="s">
        <v>1367</v>
      </c>
      <c r="B561" s="39" t="s">
        <v>495</v>
      </c>
      <c r="C561" s="39" t="s">
        <v>156</v>
      </c>
      <c r="D561" s="39" t="s">
        <v>162</v>
      </c>
      <c r="E561" s="39" t="s">
        <v>100</v>
      </c>
      <c r="F561" s="34">
        <v>0</v>
      </c>
      <c r="G561" s="40">
        <f t="shared" si="8"/>
        <v>0</v>
      </c>
      <c r="H561" s="40"/>
    </row>
    <row r="562" spans="1:8">
      <c r="A562" s="39" t="s">
        <v>1368</v>
      </c>
      <c r="B562" s="39" t="s">
        <v>1369</v>
      </c>
      <c r="C562" s="39" t="s">
        <v>156</v>
      </c>
      <c r="D562" s="39" t="s">
        <v>162</v>
      </c>
      <c r="E562" s="39" t="s">
        <v>100</v>
      </c>
      <c r="F562" s="34">
        <v>0</v>
      </c>
      <c r="G562" s="40">
        <f t="shared" si="8"/>
        <v>0</v>
      </c>
      <c r="H562" s="40"/>
    </row>
    <row r="563" spans="1:8">
      <c r="A563" s="39" t="s">
        <v>1370</v>
      </c>
      <c r="B563" s="39" t="s">
        <v>2290</v>
      </c>
      <c r="C563" s="39" t="s">
        <v>156</v>
      </c>
      <c r="D563" s="39" t="s">
        <v>162</v>
      </c>
      <c r="E563" s="39" t="s">
        <v>100</v>
      </c>
      <c r="F563" s="34">
        <v>0</v>
      </c>
      <c r="G563" s="40">
        <f t="shared" si="8"/>
        <v>0</v>
      </c>
      <c r="H563" s="40"/>
    </row>
    <row r="564" spans="1:8">
      <c r="A564" s="39" t="s">
        <v>1371</v>
      </c>
      <c r="B564" s="39" t="s">
        <v>2291</v>
      </c>
      <c r="C564" s="39" t="s">
        <v>156</v>
      </c>
      <c r="D564" s="39" t="s">
        <v>162</v>
      </c>
      <c r="E564" s="39" t="s">
        <v>100</v>
      </c>
      <c r="F564" s="34">
        <v>0</v>
      </c>
      <c r="G564" s="40">
        <f t="shared" si="8"/>
        <v>0</v>
      </c>
      <c r="H564" s="40"/>
    </row>
    <row r="565" spans="1:8">
      <c r="A565" s="39" t="s">
        <v>1373</v>
      </c>
      <c r="B565" s="39" t="s">
        <v>1374</v>
      </c>
      <c r="C565" s="39" t="s">
        <v>156</v>
      </c>
      <c r="D565" s="39" t="s">
        <v>169</v>
      </c>
      <c r="E565" s="39" t="s">
        <v>1375</v>
      </c>
      <c r="F565" s="34">
        <v>0</v>
      </c>
      <c r="G565" s="40">
        <f t="shared" si="8"/>
        <v>0</v>
      </c>
      <c r="H565" s="40"/>
    </row>
    <row r="566" spans="1:8">
      <c r="A566" s="39" t="s">
        <v>1376</v>
      </c>
      <c r="B566" s="39" t="s">
        <v>1377</v>
      </c>
      <c r="C566" s="39" t="s">
        <v>156</v>
      </c>
      <c r="D566" s="39" t="s">
        <v>157</v>
      </c>
      <c r="E566" s="39" t="s">
        <v>100</v>
      </c>
      <c r="F566" s="34">
        <v>0</v>
      </c>
      <c r="G566" s="40">
        <f t="shared" si="8"/>
        <v>0</v>
      </c>
      <c r="H566" s="40"/>
    </row>
    <row r="567" spans="1:8">
      <c r="A567" s="39" t="s">
        <v>1378</v>
      </c>
      <c r="B567" s="39" t="s">
        <v>2270</v>
      </c>
      <c r="C567" s="39" t="s">
        <v>156</v>
      </c>
      <c r="D567" s="39" t="s">
        <v>162</v>
      </c>
      <c r="E567" s="39" t="s">
        <v>100</v>
      </c>
      <c r="F567" s="34">
        <v>0</v>
      </c>
      <c r="G567" s="40">
        <f t="shared" si="8"/>
        <v>0</v>
      </c>
      <c r="H567" s="40"/>
    </row>
    <row r="568" spans="1:8">
      <c r="A568" s="39" t="s">
        <v>1380</v>
      </c>
      <c r="B568" s="39" t="s">
        <v>1381</v>
      </c>
      <c r="C568" s="39" t="s">
        <v>156</v>
      </c>
      <c r="D568" s="39" t="s">
        <v>169</v>
      </c>
      <c r="E568" s="39" t="s">
        <v>1382</v>
      </c>
      <c r="F568" s="34">
        <v>0</v>
      </c>
      <c r="G568" s="40">
        <f t="shared" si="8"/>
        <v>0</v>
      </c>
      <c r="H568" s="40"/>
    </row>
    <row r="569" spans="1:8">
      <c r="A569" s="39" t="s">
        <v>1383</v>
      </c>
      <c r="B569" s="39" t="s">
        <v>1384</v>
      </c>
      <c r="C569" s="39" t="s">
        <v>156</v>
      </c>
      <c r="D569" s="39" t="s">
        <v>157</v>
      </c>
      <c r="E569" s="39" t="s">
        <v>100</v>
      </c>
      <c r="F569" s="34">
        <v>0</v>
      </c>
      <c r="G569" s="40">
        <f t="shared" si="8"/>
        <v>0</v>
      </c>
      <c r="H569" s="40"/>
    </row>
    <row r="570" spans="1:8">
      <c r="A570" s="39" t="s">
        <v>1385</v>
      </c>
      <c r="B570" s="39" t="s">
        <v>2292</v>
      </c>
      <c r="C570" s="39" t="s">
        <v>156</v>
      </c>
      <c r="D570" s="39" t="s">
        <v>162</v>
      </c>
      <c r="E570" s="39" t="s">
        <v>100</v>
      </c>
      <c r="F570" s="34">
        <v>0</v>
      </c>
      <c r="G570" s="40">
        <f t="shared" si="8"/>
        <v>0</v>
      </c>
      <c r="H570" s="40"/>
    </row>
    <row r="571" spans="1:8">
      <c r="A571" s="39" t="s">
        <v>1387</v>
      </c>
      <c r="B571" s="39" t="s">
        <v>2293</v>
      </c>
      <c r="C571" s="39" t="s">
        <v>156</v>
      </c>
      <c r="D571" s="39" t="s">
        <v>162</v>
      </c>
      <c r="E571" s="39" t="s">
        <v>100</v>
      </c>
      <c r="F571" s="34">
        <v>0</v>
      </c>
      <c r="G571" s="40">
        <f t="shared" si="8"/>
        <v>0</v>
      </c>
      <c r="H571" s="40"/>
    </row>
    <row r="572" spans="1:8">
      <c r="A572" s="39" t="s">
        <v>1389</v>
      </c>
      <c r="B572" s="39" t="s">
        <v>1390</v>
      </c>
      <c r="C572" s="39" t="s">
        <v>156</v>
      </c>
      <c r="D572" s="39" t="s">
        <v>162</v>
      </c>
      <c r="E572" s="39" t="s">
        <v>100</v>
      </c>
      <c r="F572" s="34">
        <v>0</v>
      </c>
      <c r="G572" s="40">
        <f t="shared" si="8"/>
        <v>0</v>
      </c>
      <c r="H572" s="40"/>
    </row>
    <row r="573" spans="1:8">
      <c r="A573" s="39" t="s">
        <v>1391</v>
      </c>
      <c r="B573" s="39" t="s">
        <v>1392</v>
      </c>
      <c r="C573" s="39" t="s">
        <v>156</v>
      </c>
      <c r="D573" s="39" t="s">
        <v>169</v>
      </c>
      <c r="E573" s="39" t="s">
        <v>1393</v>
      </c>
      <c r="F573" s="34">
        <v>0</v>
      </c>
      <c r="G573" s="40">
        <f t="shared" si="8"/>
        <v>0</v>
      </c>
      <c r="H573" s="40"/>
    </row>
    <row r="574" spans="1:8">
      <c r="A574" s="39" t="s">
        <v>1394</v>
      </c>
      <c r="B574" s="39" t="s">
        <v>1152</v>
      </c>
      <c r="C574" s="39" t="s">
        <v>156</v>
      </c>
      <c r="D574" s="39" t="s">
        <v>169</v>
      </c>
      <c r="E574" s="39" t="s">
        <v>1395</v>
      </c>
      <c r="F574" s="34">
        <v>0</v>
      </c>
      <c r="G574" s="40">
        <f t="shared" si="8"/>
        <v>0</v>
      </c>
      <c r="H574" s="40"/>
    </row>
    <row r="575" spans="1:8">
      <c r="A575" s="39" t="s">
        <v>1396</v>
      </c>
      <c r="B575" s="39" t="s">
        <v>1397</v>
      </c>
      <c r="C575" s="39" t="s">
        <v>156</v>
      </c>
      <c r="D575" s="39" t="s">
        <v>169</v>
      </c>
      <c r="E575" s="39" t="s">
        <v>1398</v>
      </c>
      <c r="F575" s="34">
        <v>0</v>
      </c>
      <c r="G575" s="40">
        <f t="shared" si="8"/>
        <v>0</v>
      </c>
      <c r="H575" s="40"/>
    </row>
    <row r="576" spans="1:8">
      <c r="A576" s="39" t="s">
        <v>1399</v>
      </c>
      <c r="B576" s="39" t="s">
        <v>1400</v>
      </c>
      <c r="C576" s="39" t="s">
        <v>872</v>
      </c>
      <c r="D576" s="39" t="s">
        <v>157</v>
      </c>
      <c r="E576" s="39" t="s">
        <v>100</v>
      </c>
      <c r="F576" s="34">
        <v>0</v>
      </c>
      <c r="G576" s="40">
        <f t="shared" si="8"/>
        <v>0</v>
      </c>
      <c r="H576" s="40"/>
    </row>
    <row r="577" spans="1:8">
      <c r="A577" s="39" t="s">
        <v>1401</v>
      </c>
      <c r="B577" s="39" t="s">
        <v>1402</v>
      </c>
      <c r="C577" s="39" t="s">
        <v>872</v>
      </c>
      <c r="D577" s="39" t="s">
        <v>162</v>
      </c>
      <c r="E577" s="39" t="s">
        <v>100</v>
      </c>
      <c r="F577" s="34">
        <v>0</v>
      </c>
      <c r="G577" s="40">
        <f t="shared" si="8"/>
        <v>0</v>
      </c>
      <c r="H577" s="40"/>
    </row>
    <row r="578" spans="1:8">
      <c r="A578" s="39" t="s">
        <v>1403</v>
      </c>
      <c r="B578" s="39" t="s">
        <v>1404</v>
      </c>
      <c r="C578" s="39" t="s">
        <v>872</v>
      </c>
      <c r="D578" s="39" t="s">
        <v>162</v>
      </c>
      <c r="E578" s="39" t="s">
        <v>100</v>
      </c>
      <c r="F578" s="34">
        <v>0</v>
      </c>
      <c r="G578" s="40">
        <f t="shared" si="8"/>
        <v>0</v>
      </c>
      <c r="H578" s="40"/>
    </row>
    <row r="579" spans="1:8">
      <c r="A579" s="39" t="s">
        <v>1405</v>
      </c>
      <c r="B579" s="39" t="s">
        <v>1406</v>
      </c>
      <c r="C579" s="39" t="s">
        <v>872</v>
      </c>
      <c r="D579" s="39" t="s">
        <v>162</v>
      </c>
      <c r="E579" s="39" t="s">
        <v>100</v>
      </c>
      <c r="F579" s="34">
        <v>-8879.2000000000007</v>
      </c>
      <c r="G579" s="40">
        <f t="shared" si="8"/>
        <v>-8879</v>
      </c>
      <c r="H579" s="40"/>
    </row>
    <row r="580" spans="1:8">
      <c r="A580" s="39" t="s">
        <v>1407</v>
      </c>
      <c r="B580" s="39" t="s">
        <v>1408</v>
      </c>
      <c r="C580" s="39" t="s">
        <v>872</v>
      </c>
      <c r="D580" s="39" t="s">
        <v>169</v>
      </c>
      <c r="E580" s="39" t="s">
        <v>1409</v>
      </c>
      <c r="F580" s="34">
        <v>-8879.2000000000007</v>
      </c>
      <c r="G580" s="40">
        <f t="shared" si="8"/>
        <v>-8879</v>
      </c>
      <c r="H580" s="40"/>
    </row>
    <row r="581" spans="1:8">
      <c r="A581" s="39" t="s">
        <v>1410</v>
      </c>
      <c r="B581" s="39" t="s">
        <v>1411</v>
      </c>
      <c r="C581" s="39" t="s">
        <v>872</v>
      </c>
      <c r="D581" s="39" t="s">
        <v>157</v>
      </c>
      <c r="E581" s="39" t="s">
        <v>100</v>
      </c>
      <c r="F581" s="34">
        <v>0</v>
      </c>
      <c r="G581" s="40">
        <f t="shared" si="8"/>
        <v>0</v>
      </c>
      <c r="H581" s="40"/>
    </row>
    <row r="582" spans="1:8">
      <c r="A582" s="39" t="s">
        <v>1412</v>
      </c>
      <c r="B582" s="39" t="s">
        <v>1413</v>
      </c>
      <c r="C582" s="39" t="s">
        <v>872</v>
      </c>
      <c r="D582" s="39" t="s">
        <v>162</v>
      </c>
      <c r="E582" s="39" t="s">
        <v>100</v>
      </c>
      <c r="F582" s="34">
        <v>0</v>
      </c>
      <c r="G582" s="40">
        <f t="shared" ref="G582:G597" si="9">ROUND(F582,0)</f>
        <v>0</v>
      </c>
      <c r="H582" s="40"/>
    </row>
    <row r="583" spans="1:8">
      <c r="A583" s="39" t="s">
        <v>1414</v>
      </c>
      <c r="B583" s="39" t="s">
        <v>1415</v>
      </c>
      <c r="C583" s="39" t="s">
        <v>872</v>
      </c>
      <c r="D583" s="39" t="s">
        <v>162</v>
      </c>
      <c r="E583" s="39" t="s">
        <v>100</v>
      </c>
      <c r="F583" s="34">
        <v>1292.77</v>
      </c>
      <c r="G583" s="40">
        <f t="shared" si="9"/>
        <v>1293</v>
      </c>
      <c r="H583" s="40"/>
    </row>
    <row r="584" spans="1:8">
      <c r="A584" s="39" t="s">
        <v>1416</v>
      </c>
      <c r="B584" s="39" t="s">
        <v>1417</v>
      </c>
      <c r="C584" s="39" t="s">
        <v>872</v>
      </c>
      <c r="D584" s="39" t="s">
        <v>162</v>
      </c>
      <c r="E584" s="39" t="s">
        <v>100</v>
      </c>
      <c r="F584" s="34">
        <v>26747.09</v>
      </c>
      <c r="G584" s="40">
        <f t="shared" si="9"/>
        <v>26747</v>
      </c>
      <c r="H584" s="40"/>
    </row>
    <row r="585" spans="1:8">
      <c r="A585" s="39" t="s">
        <v>1418</v>
      </c>
      <c r="B585" s="39" t="s">
        <v>515</v>
      </c>
      <c r="C585" s="39" t="s">
        <v>872</v>
      </c>
      <c r="D585" s="39" t="s">
        <v>162</v>
      </c>
      <c r="E585" s="39" t="s">
        <v>100</v>
      </c>
      <c r="F585" s="34">
        <v>-1381499.48</v>
      </c>
      <c r="G585" s="40">
        <f t="shared" si="9"/>
        <v>-1381499</v>
      </c>
      <c r="H585" s="40"/>
    </row>
    <row r="586" spans="1:8">
      <c r="A586" s="39" t="s">
        <v>1419</v>
      </c>
      <c r="B586" s="39" t="s">
        <v>1420</v>
      </c>
      <c r="C586" s="39" t="s">
        <v>872</v>
      </c>
      <c r="D586" s="39" t="s">
        <v>169</v>
      </c>
      <c r="E586" s="39" t="s">
        <v>1421</v>
      </c>
      <c r="F586" s="34">
        <v>-1353459.62</v>
      </c>
      <c r="G586" s="40">
        <f t="shared" si="9"/>
        <v>-1353460</v>
      </c>
      <c r="H586" s="40"/>
    </row>
    <row r="587" spans="1:8">
      <c r="A587" s="39" t="s">
        <v>1422</v>
      </c>
      <c r="B587" s="39" t="s">
        <v>1423</v>
      </c>
      <c r="C587" s="39" t="s">
        <v>872</v>
      </c>
      <c r="D587" s="39" t="s">
        <v>157</v>
      </c>
      <c r="E587" s="39" t="s">
        <v>100</v>
      </c>
      <c r="F587" s="34">
        <v>0</v>
      </c>
      <c r="G587" s="40">
        <f t="shared" si="9"/>
        <v>0</v>
      </c>
      <c r="H587" s="40"/>
    </row>
    <row r="588" spans="1:8">
      <c r="A588" s="39" t="s">
        <v>1424</v>
      </c>
      <c r="B588" s="39" t="s">
        <v>1425</v>
      </c>
      <c r="C588" s="39" t="s">
        <v>872</v>
      </c>
      <c r="D588" s="39" t="s">
        <v>162</v>
      </c>
      <c r="E588" s="39" t="s">
        <v>100</v>
      </c>
      <c r="F588" s="34">
        <v>150000</v>
      </c>
      <c r="G588" s="40">
        <f t="shared" si="9"/>
        <v>150000</v>
      </c>
      <c r="H588" s="40"/>
    </row>
    <row r="589" spans="1:8">
      <c r="A589" s="39" t="s">
        <v>1426</v>
      </c>
      <c r="B589" s="39" t="s">
        <v>1427</v>
      </c>
      <c r="C589" s="39" t="s">
        <v>872</v>
      </c>
      <c r="D589" s="39" t="s">
        <v>162</v>
      </c>
      <c r="E589" s="39" t="s">
        <v>100</v>
      </c>
      <c r="F589" s="34">
        <v>0</v>
      </c>
      <c r="G589" s="40">
        <f t="shared" si="9"/>
        <v>0</v>
      </c>
      <c r="H589" s="40"/>
    </row>
    <row r="590" spans="1:8">
      <c r="A590" s="39" t="s">
        <v>1428</v>
      </c>
      <c r="B590" s="39" t="s">
        <v>1429</v>
      </c>
      <c r="C590" s="39" t="s">
        <v>872</v>
      </c>
      <c r="D590" s="39" t="s">
        <v>162</v>
      </c>
      <c r="E590" s="39" t="s">
        <v>100</v>
      </c>
      <c r="F590" s="34">
        <v>-104859.21</v>
      </c>
      <c r="G590" s="40">
        <f t="shared" si="9"/>
        <v>-104859</v>
      </c>
      <c r="H590" s="40"/>
    </row>
    <row r="591" spans="1:8">
      <c r="A591" s="39" t="s">
        <v>1430</v>
      </c>
      <c r="B591" s="39" t="s">
        <v>1431</v>
      </c>
      <c r="C591" s="39" t="s">
        <v>872</v>
      </c>
      <c r="D591" s="39" t="s">
        <v>162</v>
      </c>
      <c r="E591" s="39" t="s">
        <v>100</v>
      </c>
      <c r="F591" s="34">
        <v>6750</v>
      </c>
      <c r="G591" s="40">
        <f t="shared" si="9"/>
        <v>6750</v>
      </c>
      <c r="H591" s="40"/>
    </row>
    <row r="592" spans="1:8">
      <c r="A592" s="39" t="s">
        <v>1432</v>
      </c>
      <c r="B592" s="39" t="s">
        <v>1433</v>
      </c>
      <c r="C592" s="39" t="s">
        <v>872</v>
      </c>
      <c r="D592" s="39" t="s">
        <v>162</v>
      </c>
      <c r="E592" s="39" t="s">
        <v>100</v>
      </c>
      <c r="F592" s="34">
        <v>164247.5</v>
      </c>
      <c r="G592" s="40">
        <f t="shared" si="9"/>
        <v>164248</v>
      </c>
      <c r="H592" s="40"/>
    </row>
    <row r="593" spans="1:8">
      <c r="A593" s="39" t="s">
        <v>1434</v>
      </c>
      <c r="B593" s="39" t="s">
        <v>1435</v>
      </c>
      <c r="C593" s="39" t="s">
        <v>872</v>
      </c>
      <c r="D593" s="39" t="s">
        <v>162</v>
      </c>
      <c r="E593" s="39" t="s">
        <v>100</v>
      </c>
      <c r="F593" s="34">
        <v>-164247.5</v>
      </c>
      <c r="G593" s="40">
        <f t="shared" si="9"/>
        <v>-164248</v>
      </c>
      <c r="H593" s="40"/>
    </row>
    <row r="594" spans="1:8">
      <c r="A594" s="39" t="s">
        <v>1436</v>
      </c>
      <c r="B594" s="39" t="s">
        <v>1437</v>
      </c>
      <c r="C594" s="39" t="s">
        <v>872</v>
      </c>
      <c r="D594" s="39" t="s">
        <v>162</v>
      </c>
      <c r="E594" s="39" t="s">
        <v>100</v>
      </c>
      <c r="F594" s="34">
        <v>18150.259999999998</v>
      </c>
      <c r="G594" s="40">
        <f t="shared" si="9"/>
        <v>18150</v>
      </c>
      <c r="H594" s="40"/>
    </row>
    <row r="595" spans="1:8">
      <c r="A595" s="39" t="s">
        <v>1438</v>
      </c>
      <c r="B595" s="39" t="s">
        <v>1439</v>
      </c>
      <c r="C595" s="39" t="s">
        <v>872</v>
      </c>
      <c r="D595" s="39" t="s">
        <v>169</v>
      </c>
      <c r="E595" s="39" t="s">
        <v>1440</v>
      </c>
      <c r="F595" s="34">
        <v>70041.05</v>
      </c>
      <c r="G595" s="40">
        <f t="shared" si="9"/>
        <v>70041</v>
      </c>
      <c r="H595" s="40"/>
    </row>
    <row r="596" spans="1:8">
      <c r="A596" s="39" t="s">
        <v>1441</v>
      </c>
      <c r="B596" s="39" t="s">
        <v>1442</v>
      </c>
      <c r="C596" s="39" t="s">
        <v>872</v>
      </c>
      <c r="D596" s="39" t="s">
        <v>169</v>
      </c>
      <c r="E596" s="39" t="s">
        <v>1443</v>
      </c>
      <c r="F596" s="34">
        <v>-2785887.1</v>
      </c>
      <c r="G596" s="40">
        <f t="shared" si="9"/>
        <v>-2785887</v>
      </c>
      <c r="H596" s="40"/>
    </row>
    <row r="597" spans="1:8">
      <c r="A597" s="39" t="s">
        <v>1444</v>
      </c>
      <c r="B597" s="39" t="s">
        <v>1445</v>
      </c>
      <c r="C597" s="39" t="s">
        <v>872</v>
      </c>
      <c r="D597" s="39" t="s">
        <v>169</v>
      </c>
      <c r="E597" s="39" t="s">
        <v>1446</v>
      </c>
      <c r="F597" s="34">
        <v>-66871705.539999999</v>
      </c>
      <c r="G597" s="40">
        <f t="shared" si="9"/>
        <v>-66871706</v>
      </c>
      <c r="H597" s="40"/>
    </row>
    <row r="598" spans="1:8">
      <c r="H598" s="1">
        <f>SUM(H3:H597)</f>
        <v>0.27999999998428393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589"/>
  <sheetViews>
    <sheetView topLeftCell="A368" workbookViewId="0">
      <selection activeCell="G402" sqref="G402:H402"/>
    </sheetView>
  </sheetViews>
  <sheetFormatPr baseColWidth="10" defaultColWidth="8.5" defaultRowHeight="14"/>
  <cols>
    <col min="2" max="2" width="32.5" bestFit="1" customWidth="1"/>
    <col min="3" max="3" width="15.5" bestFit="1" customWidth="1"/>
    <col min="4" max="4" width="8" bestFit="1" customWidth="1"/>
    <col min="5" max="5" width="14" bestFit="1" customWidth="1"/>
    <col min="6" max="6" width="13.5" bestFit="1" customWidth="1"/>
    <col min="7" max="7" width="13" style="3" bestFit="1" customWidth="1"/>
    <col min="8" max="8" width="9.5" style="28" bestFit="1" customWidth="1"/>
    <col min="9" max="9" width="10.5" bestFit="1" customWidth="1"/>
    <col min="10" max="10" width="9.5" bestFit="1" customWidth="1"/>
    <col min="13" max="13" width="31" bestFit="1" customWidth="1"/>
    <col min="14" max="14" width="12.5" bestFit="1" customWidth="1"/>
    <col min="15" max="15" width="11.5" bestFit="1" customWidth="1"/>
    <col min="16" max="16" width="8" bestFit="1" customWidth="1"/>
    <col min="17" max="17" width="12.5" bestFit="1" customWidth="1"/>
    <col min="18" max="18" width="11" bestFit="1" customWidth="1"/>
    <col min="19" max="19" width="7.5" bestFit="1" customWidth="1"/>
    <col min="20" max="20" width="11" bestFit="1" customWidth="1"/>
  </cols>
  <sheetData>
    <row r="1" spans="1:8" ht="16">
      <c r="A1" s="23" t="s">
        <v>146</v>
      </c>
      <c r="F1" t="s">
        <v>2304</v>
      </c>
    </row>
    <row r="2" spans="1:8" ht="24">
      <c r="A2" s="24" t="s">
        <v>147</v>
      </c>
      <c r="B2" s="24" t="s">
        <v>148</v>
      </c>
      <c r="C2" s="24" t="s">
        <v>149</v>
      </c>
      <c r="D2" s="24" t="s">
        <v>150</v>
      </c>
      <c r="E2" s="24" t="s">
        <v>151</v>
      </c>
      <c r="F2" s="24" t="s">
        <v>152</v>
      </c>
      <c r="H2" s="28" t="s">
        <v>2026</v>
      </c>
    </row>
    <row r="3" spans="1:8">
      <c r="A3" s="25" t="s">
        <v>154</v>
      </c>
      <c r="B3" s="25" t="s">
        <v>155</v>
      </c>
      <c r="C3" s="25" t="s">
        <v>156</v>
      </c>
      <c r="D3" s="25" t="s">
        <v>157</v>
      </c>
      <c r="E3" s="25" t="s">
        <v>100</v>
      </c>
      <c r="F3" s="27">
        <v>0</v>
      </c>
      <c r="G3" s="3">
        <f>ROUND(F3,0)</f>
        <v>0</v>
      </c>
    </row>
    <row r="4" spans="1:8">
      <c r="A4" s="25" t="s">
        <v>158</v>
      </c>
      <c r="B4" s="25" t="s">
        <v>159</v>
      </c>
      <c r="C4" s="25" t="s">
        <v>156</v>
      </c>
      <c r="D4" s="25" t="s">
        <v>157</v>
      </c>
      <c r="E4" s="25" t="s">
        <v>100</v>
      </c>
      <c r="F4" s="27">
        <v>0</v>
      </c>
      <c r="G4" s="3">
        <f t="shared" ref="G4:G67" si="0">ROUND(F4,0)</f>
        <v>0</v>
      </c>
    </row>
    <row r="5" spans="1:8">
      <c r="A5" s="25" t="s">
        <v>160</v>
      </c>
      <c r="B5" s="25" t="s">
        <v>161</v>
      </c>
      <c r="C5" s="25" t="s">
        <v>156</v>
      </c>
      <c r="D5" s="25" t="s">
        <v>162</v>
      </c>
      <c r="E5" s="25" t="s">
        <v>100</v>
      </c>
      <c r="F5" s="27">
        <v>-6955993.75</v>
      </c>
      <c r="G5" s="3">
        <f t="shared" si="0"/>
        <v>-6955994</v>
      </c>
    </row>
    <row r="6" spans="1:8">
      <c r="A6" s="25" t="s">
        <v>163</v>
      </c>
      <c r="B6" s="25" t="s">
        <v>164</v>
      </c>
      <c r="C6" s="25" t="s">
        <v>156</v>
      </c>
      <c r="D6" s="25" t="s">
        <v>162</v>
      </c>
      <c r="E6" s="25" t="s">
        <v>100</v>
      </c>
      <c r="F6" s="27">
        <v>-672040</v>
      </c>
      <c r="G6" s="3">
        <f t="shared" si="0"/>
        <v>-672040</v>
      </c>
    </row>
    <row r="7" spans="1:8">
      <c r="A7" s="25" t="s">
        <v>165</v>
      </c>
      <c r="B7" s="25" t="s">
        <v>166</v>
      </c>
      <c r="C7" s="25" t="s">
        <v>156</v>
      </c>
      <c r="D7" s="25" t="s">
        <v>162</v>
      </c>
      <c r="E7" s="25" t="s">
        <v>100</v>
      </c>
      <c r="F7" s="27">
        <v>-34930</v>
      </c>
      <c r="G7" s="3">
        <f t="shared" si="0"/>
        <v>-34930</v>
      </c>
    </row>
    <row r="8" spans="1:8">
      <c r="A8" s="25" t="s">
        <v>167</v>
      </c>
      <c r="B8" s="25" t="s">
        <v>168</v>
      </c>
      <c r="C8" s="25" t="s">
        <v>156</v>
      </c>
      <c r="D8" s="25" t="s">
        <v>169</v>
      </c>
      <c r="E8" s="25" t="s">
        <v>170</v>
      </c>
      <c r="F8" s="27">
        <v>-7662963.75</v>
      </c>
      <c r="G8" s="3">
        <f t="shared" si="0"/>
        <v>-7662964</v>
      </c>
    </row>
    <row r="9" spans="1:8">
      <c r="A9" s="25" t="s">
        <v>171</v>
      </c>
      <c r="B9" s="25" t="s">
        <v>172</v>
      </c>
      <c r="C9" s="25" t="s">
        <v>156</v>
      </c>
      <c r="D9" s="25" t="s">
        <v>157</v>
      </c>
      <c r="E9" s="25" t="s">
        <v>100</v>
      </c>
      <c r="F9" s="27">
        <v>0</v>
      </c>
      <c r="G9" s="3">
        <f t="shared" si="0"/>
        <v>0</v>
      </c>
    </row>
    <row r="10" spans="1:8">
      <c r="A10" s="25" t="s">
        <v>173</v>
      </c>
      <c r="B10" s="25" t="s">
        <v>174</v>
      </c>
      <c r="C10" s="25" t="s">
        <v>156</v>
      </c>
      <c r="D10" s="25" t="s">
        <v>162</v>
      </c>
      <c r="E10" s="25" t="s">
        <v>100</v>
      </c>
      <c r="F10" s="27">
        <v>-6957295</v>
      </c>
      <c r="G10" s="3">
        <f t="shared" si="0"/>
        <v>-6957295</v>
      </c>
    </row>
    <row r="11" spans="1:8">
      <c r="A11" s="25" t="s">
        <v>175</v>
      </c>
      <c r="B11" s="25" t="s">
        <v>176</v>
      </c>
      <c r="C11" s="25" t="s">
        <v>156</v>
      </c>
      <c r="D11" s="25" t="s">
        <v>162</v>
      </c>
      <c r="E11" s="25" t="s">
        <v>100</v>
      </c>
      <c r="F11" s="27">
        <v>-252309.94</v>
      </c>
      <c r="G11" s="3">
        <f t="shared" si="0"/>
        <v>-252310</v>
      </c>
    </row>
    <row r="12" spans="1:8">
      <c r="A12" s="25" t="s">
        <v>177</v>
      </c>
      <c r="B12" s="25" t="s">
        <v>178</v>
      </c>
      <c r="C12" s="25" t="s">
        <v>156</v>
      </c>
      <c r="D12" s="25" t="s">
        <v>162</v>
      </c>
      <c r="E12" s="25" t="s">
        <v>100</v>
      </c>
      <c r="F12" s="27">
        <v>-601720.02</v>
      </c>
      <c r="G12" s="3">
        <f t="shared" si="0"/>
        <v>-601720</v>
      </c>
    </row>
    <row r="13" spans="1:8">
      <c r="A13" s="25" t="s">
        <v>179</v>
      </c>
      <c r="B13" s="25" t="s">
        <v>180</v>
      </c>
      <c r="C13" s="25" t="s">
        <v>156</v>
      </c>
      <c r="D13" s="25" t="s">
        <v>162</v>
      </c>
      <c r="E13" s="25" t="s">
        <v>100</v>
      </c>
      <c r="F13" s="27">
        <v>587527.5</v>
      </c>
      <c r="G13" s="3">
        <f t="shared" si="0"/>
        <v>587528</v>
      </c>
    </row>
    <row r="14" spans="1:8">
      <c r="A14" s="25" t="s">
        <v>183</v>
      </c>
      <c r="B14" s="25" t="s">
        <v>184</v>
      </c>
      <c r="C14" s="25" t="s">
        <v>156</v>
      </c>
      <c r="D14" s="25" t="s">
        <v>162</v>
      </c>
      <c r="E14" s="25" t="s">
        <v>100</v>
      </c>
      <c r="F14" s="27">
        <v>-3854515</v>
      </c>
      <c r="G14" s="3">
        <f t="shared" si="0"/>
        <v>-3854515</v>
      </c>
    </row>
    <row r="15" spans="1:8">
      <c r="A15" s="25" t="s">
        <v>185</v>
      </c>
      <c r="B15" s="25" t="s">
        <v>186</v>
      </c>
      <c r="C15" s="25" t="s">
        <v>156</v>
      </c>
      <c r="D15" s="25" t="s">
        <v>169</v>
      </c>
      <c r="E15" s="25" t="s">
        <v>187</v>
      </c>
      <c r="F15" s="27">
        <v>-11078312.460000001</v>
      </c>
      <c r="G15" s="3">
        <f t="shared" si="0"/>
        <v>-11078312</v>
      </c>
    </row>
    <row r="16" spans="1:8">
      <c r="A16" s="25" t="s">
        <v>188</v>
      </c>
      <c r="B16" s="25" t="s">
        <v>189</v>
      </c>
      <c r="C16" s="25" t="s">
        <v>156</v>
      </c>
      <c r="D16" s="25" t="s">
        <v>157</v>
      </c>
      <c r="E16" s="25" t="s">
        <v>100</v>
      </c>
      <c r="F16" s="27">
        <v>0</v>
      </c>
      <c r="G16" s="3">
        <f t="shared" si="0"/>
        <v>0</v>
      </c>
    </row>
    <row r="17" spans="1:8">
      <c r="A17" s="25" t="s">
        <v>190</v>
      </c>
      <c r="B17" s="25" t="s">
        <v>191</v>
      </c>
      <c r="C17" s="25" t="s">
        <v>156</v>
      </c>
      <c r="D17" s="25" t="s">
        <v>157</v>
      </c>
      <c r="E17" s="25" t="s">
        <v>100</v>
      </c>
      <c r="F17" s="27">
        <v>0</v>
      </c>
      <c r="G17" s="3">
        <f t="shared" si="0"/>
        <v>0</v>
      </c>
    </row>
    <row r="18" spans="1:8">
      <c r="A18" s="25" t="s">
        <v>192</v>
      </c>
      <c r="B18" s="25" t="s">
        <v>193</v>
      </c>
      <c r="C18" s="25" t="s">
        <v>156</v>
      </c>
      <c r="D18" s="25" t="s">
        <v>162</v>
      </c>
      <c r="E18" s="25" t="s">
        <v>100</v>
      </c>
      <c r="F18" s="27">
        <v>0</v>
      </c>
      <c r="G18" s="3">
        <f t="shared" si="0"/>
        <v>0</v>
      </c>
      <c r="H18" s="28">
        <f>-12478-700000-319340</f>
        <v>-1031818</v>
      </c>
    </row>
    <row r="19" spans="1:8">
      <c r="A19" s="25" t="s">
        <v>194</v>
      </c>
      <c r="B19" s="25" t="s">
        <v>195</v>
      </c>
      <c r="C19" s="25" t="s">
        <v>156</v>
      </c>
      <c r="D19" s="25" t="s">
        <v>169</v>
      </c>
      <c r="E19" s="25" t="s">
        <v>196</v>
      </c>
      <c r="F19" s="27">
        <v>0</v>
      </c>
      <c r="G19" s="3">
        <f t="shared" si="0"/>
        <v>0</v>
      </c>
    </row>
    <row r="20" spans="1:8">
      <c r="A20" s="25" t="s">
        <v>197</v>
      </c>
      <c r="B20" s="25" t="s">
        <v>198</v>
      </c>
      <c r="C20" s="25" t="s">
        <v>156</v>
      </c>
      <c r="D20" s="25" t="s">
        <v>157</v>
      </c>
      <c r="E20" s="25" t="s">
        <v>100</v>
      </c>
      <c r="F20" s="27">
        <v>0</v>
      </c>
      <c r="G20" s="3">
        <f t="shared" si="0"/>
        <v>0</v>
      </c>
    </row>
    <row r="21" spans="1:8">
      <c r="A21" s="25" t="s">
        <v>199</v>
      </c>
      <c r="B21" s="25" t="s">
        <v>2062</v>
      </c>
      <c r="C21" s="25" t="s">
        <v>156</v>
      </c>
      <c r="D21" s="25" t="s">
        <v>162</v>
      </c>
      <c r="E21" s="25" t="s">
        <v>100</v>
      </c>
      <c r="F21" s="27">
        <v>36629.040000000001</v>
      </c>
      <c r="G21" s="3">
        <f t="shared" si="0"/>
        <v>36629</v>
      </c>
    </row>
    <row r="22" spans="1:8">
      <c r="A22" s="25" t="s">
        <v>201</v>
      </c>
      <c r="B22" s="25" t="s">
        <v>2058</v>
      </c>
      <c r="C22" s="25" t="s">
        <v>156</v>
      </c>
      <c r="D22" s="25" t="s">
        <v>162</v>
      </c>
      <c r="E22" s="25" t="s">
        <v>100</v>
      </c>
      <c r="F22" s="27">
        <v>-16294.5</v>
      </c>
      <c r="G22" s="3">
        <f t="shared" si="0"/>
        <v>-16295</v>
      </c>
    </row>
    <row r="23" spans="1:8">
      <c r="A23" s="25" t="s">
        <v>207</v>
      </c>
      <c r="B23" s="25" t="s">
        <v>2305</v>
      </c>
      <c r="C23" s="25" t="s">
        <v>156</v>
      </c>
      <c r="D23" s="25" t="s">
        <v>162</v>
      </c>
      <c r="E23" s="25" t="s">
        <v>100</v>
      </c>
      <c r="F23" s="27">
        <v>1563.56</v>
      </c>
      <c r="G23" s="3">
        <f t="shared" si="0"/>
        <v>1564</v>
      </c>
    </row>
    <row r="24" spans="1:8">
      <c r="A24" s="25" t="s">
        <v>209</v>
      </c>
      <c r="B24" s="25" t="s">
        <v>2306</v>
      </c>
      <c r="C24" s="25" t="s">
        <v>156</v>
      </c>
      <c r="D24" s="25" t="s">
        <v>162</v>
      </c>
      <c r="E24" s="25" t="s">
        <v>100</v>
      </c>
      <c r="F24" s="27">
        <v>-16801.57</v>
      </c>
      <c r="G24" s="3">
        <f t="shared" si="0"/>
        <v>-16802</v>
      </c>
    </row>
    <row r="25" spans="1:8">
      <c r="A25" s="25" t="s">
        <v>211</v>
      </c>
      <c r="B25" s="25" t="s">
        <v>2307</v>
      </c>
      <c r="C25" s="25" t="s">
        <v>156</v>
      </c>
      <c r="D25" s="25" t="s">
        <v>162</v>
      </c>
      <c r="E25" s="25" t="s">
        <v>100</v>
      </c>
      <c r="F25" s="27">
        <v>243458.47</v>
      </c>
      <c r="G25" s="3">
        <f t="shared" si="0"/>
        <v>243458</v>
      </c>
    </row>
    <row r="26" spans="1:8">
      <c r="A26" s="25" t="s">
        <v>221</v>
      </c>
      <c r="B26" s="25" t="s">
        <v>222</v>
      </c>
      <c r="C26" s="25" t="s">
        <v>156</v>
      </c>
      <c r="D26" s="25" t="s">
        <v>169</v>
      </c>
      <c r="E26" s="25" t="s">
        <v>223</v>
      </c>
      <c r="F26" s="27">
        <v>248555</v>
      </c>
      <c r="G26" s="3">
        <f t="shared" si="0"/>
        <v>248555</v>
      </c>
    </row>
    <row r="27" spans="1:8">
      <c r="A27" s="25" t="s">
        <v>224</v>
      </c>
      <c r="B27" s="25" t="s">
        <v>225</v>
      </c>
      <c r="C27" s="25" t="s">
        <v>156</v>
      </c>
      <c r="D27" s="25" t="s">
        <v>157</v>
      </c>
      <c r="E27" s="25" t="s">
        <v>100</v>
      </c>
      <c r="F27" s="27">
        <v>0</v>
      </c>
      <c r="G27" s="3">
        <f t="shared" si="0"/>
        <v>0</v>
      </c>
    </row>
    <row r="28" spans="1:8">
      <c r="A28" s="25" t="s">
        <v>226</v>
      </c>
      <c r="B28" s="25" t="s">
        <v>227</v>
      </c>
      <c r="C28" s="25" t="s">
        <v>156</v>
      </c>
      <c r="D28" s="25" t="s">
        <v>162</v>
      </c>
      <c r="E28" s="25" t="s">
        <v>100</v>
      </c>
      <c r="F28" s="27">
        <v>-1914520</v>
      </c>
      <c r="G28" s="3">
        <f t="shared" si="0"/>
        <v>-1914520</v>
      </c>
    </row>
    <row r="29" spans="1:8">
      <c r="A29" s="25" t="s">
        <v>228</v>
      </c>
      <c r="B29" s="25" t="s">
        <v>229</v>
      </c>
      <c r="C29" s="25" t="s">
        <v>156</v>
      </c>
      <c r="D29" s="25" t="s">
        <v>162</v>
      </c>
      <c r="E29" s="25" t="s">
        <v>100</v>
      </c>
      <c r="F29" s="27">
        <v>159871.88</v>
      </c>
      <c r="G29" s="3">
        <f t="shared" si="0"/>
        <v>159872</v>
      </c>
    </row>
    <row r="30" spans="1:8">
      <c r="A30" s="25" t="s">
        <v>230</v>
      </c>
      <c r="B30" s="25" t="s">
        <v>231</v>
      </c>
      <c r="C30" s="25" t="s">
        <v>156</v>
      </c>
      <c r="D30" s="25" t="s">
        <v>162</v>
      </c>
      <c r="E30" s="25" t="s">
        <v>100</v>
      </c>
      <c r="F30" s="27">
        <v>27694.74</v>
      </c>
      <c r="G30" s="3">
        <f t="shared" si="0"/>
        <v>27695</v>
      </c>
    </row>
    <row r="31" spans="1:8">
      <c r="A31" s="25" t="s">
        <v>232</v>
      </c>
      <c r="B31" s="25" t="s">
        <v>233</v>
      </c>
      <c r="C31" s="25" t="s">
        <v>156</v>
      </c>
      <c r="D31" s="25" t="s">
        <v>162</v>
      </c>
      <c r="E31" s="25" t="s">
        <v>100</v>
      </c>
      <c r="F31" s="27">
        <v>321854.15000000002</v>
      </c>
      <c r="G31" s="3">
        <f t="shared" si="0"/>
        <v>321854</v>
      </c>
    </row>
    <row r="32" spans="1:8">
      <c r="A32" s="25" t="s">
        <v>234</v>
      </c>
      <c r="B32" s="25" t="s">
        <v>235</v>
      </c>
      <c r="C32" s="25" t="s">
        <v>156</v>
      </c>
      <c r="D32" s="25" t="s">
        <v>162</v>
      </c>
      <c r="E32" s="25" t="s">
        <v>100</v>
      </c>
      <c r="F32" s="27">
        <v>-10526.4</v>
      </c>
      <c r="G32" s="3">
        <f t="shared" si="0"/>
        <v>-10526</v>
      </c>
    </row>
    <row r="33" spans="1:8">
      <c r="A33" s="25" t="s">
        <v>236</v>
      </c>
      <c r="B33" s="25" t="s">
        <v>237</v>
      </c>
      <c r="C33" s="25" t="s">
        <v>156</v>
      </c>
      <c r="D33" s="25" t="s">
        <v>162</v>
      </c>
      <c r="E33" s="25" t="s">
        <v>100</v>
      </c>
      <c r="F33" s="27">
        <v>38290.400000000001</v>
      </c>
      <c r="G33" s="3">
        <f t="shared" si="0"/>
        <v>38290</v>
      </c>
    </row>
    <row r="34" spans="1:8">
      <c r="A34" s="25" t="s">
        <v>238</v>
      </c>
      <c r="B34" s="25" t="s">
        <v>239</v>
      </c>
      <c r="C34" s="25" t="s">
        <v>156</v>
      </c>
      <c r="D34" s="25" t="s">
        <v>162</v>
      </c>
      <c r="E34" s="25" t="s">
        <v>100</v>
      </c>
      <c r="F34" s="27">
        <v>1349736.6</v>
      </c>
      <c r="G34" s="3">
        <f t="shared" si="0"/>
        <v>1349737</v>
      </c>
    </row>
    <row r="35" spans="1:8">
      <c r="A35" s="25" t="s">
        <v>240</v>
      </c>
      <c r="B35" s="25" t="s">
        <v>241</v>
      </c>
      <c r="C35" s="25" t="s">
        <v>156</v>
      </c>
      <c r="D35" s="25" t="s">
        <v>169</v>
      </c>
      <c r="E35" s="25" t="s">
        <v>242</v>
      </c>
      <c r="F35" s="27">
        <v>-27598.63</v>
      </c>
      <c r="G35" s="3">
        <f t="shared" si="0"/>
        <v>-27599</v>
      </c>
    </row>
    <row r="36" spans="1:8">
      <c r="A36" s="25" t="s">
        <v>243</v>
      </c>
      <c r="B36" s="25" t="s">
        <v>244</v>
      </c>
      <c r="C36" s="25" t="s">
        <v>156</v>
      </c>
      <c r="D36" s="25" t="s">
        <v>157</v>
      </c>
      <c r="E36" s="25" t="s">
        <v>100</v>
      </c>
      <c r="F36" s="27">
        <v>0</v>
      </c>
      <c r="G36" s="3">
        <f t="shared" si="0"/>
        <v>0</v>
      </c>
    </row>
    <row r="37" spans="1:8">
      <c r="A37" s="25" t="s">
        <v>245</v>
      </c>
      <c r="B37" s="25" t="s">
        <v>246</v>
      </c>
      <c r="C37" s="25" t="s">
        <v>156</v>
      </c>
      <c r="D37" s="25" t="s">
        <v>162</v>
      </c>
      <c r="E37" s="25" t="s">
        <v>100</v>
      </c>
      <c r="F37" s="27">
        <v>-143082.79</v>
      </c>
      <c r="G37" s="3">
        <f t="shared" si="0"/>
        <v>-143083</v>
      </c>
      <c r="H37" s="28">
        <v>-22.49</v>
      </c>
    </row>
    <row r="38" spans="1:8">
      <c r="A38" s="25" t="s">
        <v>247</v>
      </c>
      <c r="B38" s="25" t="s">
        <v>248</v>
      </c>
      <c r="C38" s="25" t="s">
        <v>156</v>
      </c>
      <c r="D38" s="25" t="s">
        <v>169</v>
      </c>
      <c r="E38" s="25" t="s">
        <v>249</v>
      </c>
      <c r="F38" s="27">
        <v>-143082.79</v>
      </c>
      <c r="G38" s="3">
        <f t="shared" si="0"/>
        <v>-143083</v>
      </c>
    </row>
    <row r="39" spans="1:8">
      <c r="A39" s="25" t="s">
        <v>250</v>
      </c>
      <c r="B39" s="25" t="s">
        <v>251</v>
      </c>
      <c r="C39" s="25" t="s">
        <v>156</v>
      </c>
      <c r="D39" s="25" t="s">
        <v>169</v>
      </c>
      <c r="E39" s="25" t="s">
        <v>252</v>
      </c>
      <c r="F39" s="27">
        <v>77873.58</v>
      </c>
      <c r="G39" s="3">
        <f t="shared" si="0"/>
        <v>77874</v>
      </c>
    </row>
    <row r="40" spans="1:8">
      <c r="A40" s="25" t="s">
        <v>253</v>
      </c>
      <c r="B40" s="25" t="s">
        <v>254</v>
      </c>
      <c r="C40" s="25" t="s">
        <v>156</v>
      </c>
      <c r="D40" s="25" t="s">
        <v>157</v>
      </c>
      <c r="E40" s="25" t="s">
        <v>100</v>
      </c>
      <c r="F40" s="27">
        <v>0</v>
      </c>
      <c r="G40" s="3">
        <f t="shared" si="0"/>
        <v>0</v>
      </c>
    </row>
    <row r="41" spans="1:8">
      <c r="A41" s="25" t="s">
        <v>255</v>
      </c>
      <c r="B41" s="25" t="s">
        <v>256</v>
      </c>
      <c r="C41" s="25" t="s">
        <v>156</v>
      </c>
      <c r="D41" s="25" t="s">
        <v>162</v>
      </c>
      <c r="E41" s="25" t="s">
        <v>100</v>
      </c>
      <c r="F41" s="27">
        <v>-100992</v>
      </c>
      <c r="G41" s="3">
        <f t="shared" si="0"/>
        <v>-100992</v>
      </c>
    </row>
    <row r="42" spans="1:8">
      <c r="A42" s="25" t="s">
        <v>257</v>
      </c>
      <c r="B42" s="25" t="s">
        <v>258</v>
      </c>
      <c r="C42" s="25" t="s">
        <v>156</v>
      </c>
      <c r="D42" s="25" t="s">
        <v>162</v>
      </c>
      <c r="E42" s="25" t="s">
        <v>100</v>
      </c>
      <c r="F42" s="27">
        <v>-671.44</v>
      </c>
      <c r="G42" s="3">
        <f t="shared" si="0"/>
        <v>-671</v>
      </c>
    </row>
    <row r="43" spans="1:8">
      <c r="A43" s="25" t="s">
        <v>259</v>
      </c>
      <c r="B43" s="25" t="s">
        <v>260</v>
      </c>
      <c r="C43" s="25" t="s">
        <v>156</v>
      </c>
      <c r="D43" s="25" t="s">
        <v>162</v>
      </c>
      <c r="E43" s="25" t="s">
        <v>100</v>
      </c>
      <c r="F43" s="27">
        <v>0</v>
      </c>
      <c r="G43" s="3">
        <f t="shared" si="0"/>
        <v>0</v>
      </c>
    </row>
    <row r="44" spans="1:8">
      <c r="A44" s="25" t="s">
        <v>261</v>
      </c>
      <c r="B44" s="25" t="s">
        <v>262</v>
      </c>
      <c r="C44" s="25" t="s">
        <v>156</v>
      </c>
      <c r="D44" s="25" t="s">
        <v>162</v>
      </c>
      <c r="E44" s="25" t="s">
        <v>100</v>
      </c>
      <c r="F44" s="27">
        <v>0</v>
      </c>
      <c r="G44" s="3">
        <f t="shared" si="0"/>
        <v>0</v>
      </c>
    </row>
    <row r="45" spans="1:8">
      <c r="A45" s="25" t="s">
        <v>263</v>
      </c>
      <c r="B45" s="25" t="s">
        <v>264</v>
      </c>
      <c r="C45" s="25" t="s">
        <v>156</v>
      </c>
      <c r="D45" s="25" t="s">
        <v>162</v>
      </c>
      <c r="E45" s="25" t="s">
        <v>100</v>
      </c>
      <c r="F45" s="27">
        <v>-12011.5</v>
      </c>
      <c r="G45" s="3">
        <f t="shared" si="0"/>
        <v>-12012</v>
      </c>
    </row>
    <row r="46" spans="1:8">
      <c r="A46" s="25" t="s">
        <v>265</v>
      </c>
      <c r="B46" s="25" t="s">
        <v>266</v>
      </c>
      <c r="C46" s="25" t="s">
        <v>156</v>
      </c>
      <c r="D46" s="25" t="s">
        <v>162</v>
      </c>
      <c r="E46" s="25" t="s">
        <v>100</v>
      </c>
      <c r="F46" s="27">
        <v>50180.81</v>
      </c>
      <c r="G46" s="3">
        <f t="shared" si="0"/>
        <v>50181</v>
      </c>
    </row>
    <row r="47" spans="1:8">
      <c r="A47" s="25" t="s">
        <v>267</v>
      </c>
      <c r="B47" s="25" t="s">
        <v>268</v>
      </c>
      <c r="C47" s="25" t="s">
        <v>156</v>
      </c>
      <c r="D47" s="25" t="s">
        <v>162</v>
      </c>
      <c r="E47" s="25" t="s">
        <v>100</v>
      </c>
      <c r="F47" s="27">
        <v>0</v>
      </c>
      <c r="G47" s="3">
        <f t="shared" si="0"/>
        <v>0</v>
      </c>
    </row>
    <row r="48" spans="1:8">
      <c r="A48" s="25" t="s">
        <v>269</v>
      </c>
      <c r="B48" s="25" t="s">
        <v>270</v>
      </c>
      <c r="C48" s="25" t="s">
        <v>156</v>
      </c>
      <c r="D48" s="25" t="s">
        <v>162</v>
      </c>
      <c r="E48" s="25" t="s">
        <v>100</v>
      </c>
      <c r="F48" s="27">
        <v>0</v>
      </c>
      <c r="G48" s="3">
        <f t="shared" si="0"/>
        <v>0</v>
      </c>
    </row>
    <row r="49" spans="1:8">
      <c r="A49" s="25" t="s">
        <v>2224</v>
      </c>
      <c r="B49" s="25" t="s">
        <v>835</v>
      </c>
      <c r="C49" s="25" t="s">
        <v>156</v>
      </c>
      <c r="D49" s="25" t="s">
        <v>162</v>
      </c>
      <c r="E49" s="25" t="s">
        <v>100</v>
      </c>
      <c r="F49" s="27">
        <v>8076</v>
      </c>
      <c r="G49" s="3">
        <f t="shared" si="0"/>
        <v>8076</v>
      </c>
    </row>
    <row r="50" spans="1:8">
      <c r="A50" s="25" t="s">
        <v>271</v>
      </c>
      <c r="B50" s="25" t="s">
        <v>272</v>
      </c>
      <c r="C50" s="25" t="s">
        <v>156</v>
      </c>
      <c r="D50" s="25" t="s">
        <v>162</v>
      </c>
      <c r="E50" s="25" t="s">
        <v>100</v>
      </c>
      <c r="F50" s="27">
        <v>0</v>
      </c>
      <c r="G50" s="3">
        <f t="shared" si="0"/>
        <v>0</v>
      </c>
    </row>
    <row r="51" spans="1:8">
      <c r="A51" s="25" t="s">
        <v>273</v>
      </c>
      <c r="B51" s="25" t="s">
        <v>274</v>
      </c>
      <c r="C51" s="25" t="s">
        <v>156</v>
      </c>
      <c r="D51" s="25" t="s">
        <v>162</v>
      </c>
      <c r="E51" s="25" t="s">
        <v>100</v>
      </c>
      <c r="F51" s="27">
        <v>0</v>
      </c>
      <c r="G51" s="3">
        <f t="shared" si="0"/>
        <v>0</v>
      </c>
    </row>
    <row r="52" spans="1:8">
      <c r="A52" s="25" t="s">
        <v>2225</v>
      </c>
      <c r="B52" s="25" t="s">
        <v>837</v>
      </c>
      <c r="C52" s="25" t="s">
        <v>156</v>
      </c>
      <c r="D52" s="25" t="s">
        <v>162</v>
      </c>
      <c r="E52" s="25" t="s">
        <v>100</v>
      </c>
      <c r="F52" s="27">
        <v>24185.54</v>
      </c>
      <c r="G52" s="3">
        <f t="shared" si="0"/>
        <v>24186</v>
      </c>
      <c r="H52" s="28">
        <v>800</v>
      </c>
    </row>
    <row r="53" spans="1:8">
      <c r="A53" s="25" t="s">
        <v>275</v>
      </c>
      <c r="B53" s="25" t="s">
        <v>254</v>
      </c>
      <c r="C53" s="25" t="s">
        <v>156</v>
      </c>
      <c r="D53" s="25" t="s">
        <v>169</v>
      </c>
      <c r="E53" s="25" t="s">
        <v>276</v>
      </c>
      <c r="F53" s="27">
        <v>-31232.59</v>
      </c>
      <c r="G53" s="3">
        <f t="shared" si="0"/>
        <v>-31233</v>
      </c>
    </row>
    <row r="54" spans="1:8">
      <c r="A54" s="25" t="s">
        <v>277</v>
      </c>
      <c r="B54" s="25" t="s">
        <v>278</v>
      </c>
      <c r="C54" s="25" t="s">
        <v>156</v>
      </c>
      <c r="D54" s="25" t="s">
        <v>169</v>
      </c>
      <c r="E54" s="25" t="s">
        <v>279</v>
      </c>
      <c r="F54" s="27">
        <v>-18694635.219999999</v>
      </c>
      <c r="G54" s="3">
        <f t="shared" si="0"/>
        <v>-18694635</v>
      </c>
    </row>
    <row r="55" spans="1:8">
      <c r="A55" s="25" t="s">
        <v>280</v>
      </c>
      <c r="B55" s="25" t="s">
        <v>281</v>
      </c>
      <c r="C55" s="25" t="s">
        <v>156</v>
      </c>
      <c r="D55" s="25" t="s">
        <v>157</v>
      </c>
      <c r="E55" s="25" t="s">
        <v>100</v>
      </c>
      <c r="F55" s="27">
        <v>0</v>
      </c>
      <c r="G55" s="3">
        <f t="shared" si="0"/>
        <v>0</v>
      </c>
    </row>
    <row r="56" spans="1:8">
      <c r="A56" s="25" t="s">
        <v>282</v>
      </c>
      <c r="B56" s="25" t="s">
        <v>281</v>
      </c>
      <c r="C56" s="25" t="s">
        <v>156</v>
      </c>
      <c r="D56" s="25" t="s">
        <v>157</v>
      </c>
      <c r="E56" s="25" t="s">
        <v>100</v>
      </c>
      <c r="F56" s="27">
        <v>0</v>
      </c>
      <c r="G56" s="3">
        <f t="shared" si="0"/>
        <v>0</v>
      </c>
    </row>
    <row r="57" spans="1:8">
      <c r="A57" s="25" t="s">
        <v>283</v>
      </c>
      <c r="B57" s="25" t="s">
        <v>284</v>
      </c>
      <c r="C57" s="25" t="s">
        <v>156</v>
      </c>
      <c r="D57" s="25" t="s">
        <v>157</v>
      </c>
      <c r="E57" s="25" t="s">
        <v>100</v>
      </c>
      <c r="F57" s="27">
        <v>0</v>
      </c>
      <c r="G57" s="3">
        <f t="shared" si="0"/>
        <v>0</v>
      </c>
    </row>
    <row r="58" spans="1:8">
      <c r="A58" s="25" t="s">
        <v>285</v>
      </c>
      <c r="B58" s="25" t="s">
        <v>286</v>
      </c>
      <c r="C58" s="25" t="s">
        <v>156</v>
      </c>
      <c r="D58" s="25" t="s">
        <v>157</v>
      </c>
      <c r="E58" s="25" t="s">
        <v>100</v>
      </c>
      <c r="F58" s="27">
        <v>0</v>
      </c>
      <c r="G58" s="3">
        <f t="shared" si="0"/>
        <v>0</v>
      </c>
    </row>
    <row r="59" spans="1:8">
      <c r="A59" s="25" t="s">
        <v>287</v>
      </c>
      <c r="B59" s="25" t="s">
        <v>288</v>
      </c>
      <c r="C59" s="25" t="s">
        <v>156</v>
      </c>
      <c r="D59" s="25" t="s">
        <v>162</v>
      </c>
      <c r="E59" s="25" t="s">
        <v>100</v>
      </c>
      <c r="F59" s="27">
        <v>7005870.96</v>
      </c>
      <c r="G59" s="3">
        <f t="shared" si="0"/>
        <v>7005871</v>
      </c>
      <c r="H59" s="28">
        <f>45000+46080</f>
        <v>91080</v>
      </c>
    </row>
    <row r="60" spans="1:8">
      <c r="A60" s="25" t="s">
        <v>289</v>
      </c>
      <c r="B60" s="25" t="s">
        <v>290</v>
      </c>
      <c r="C60" s="25" t="s">
        <v>156</v>
      </c>
      <c r="D60" s="25" t="s">
        <v>162</v>
      </c>
      <c r="E60" s="25" t="s">
        <v>100</v>
      </c>
      <c r="F60" s="27">
        <v>0</v>
      </c>
      <c r="G60" s="3">
        <f t="shared" si="0"/>
        <v>0</v>
      </c>
    </row>
    <row r="61" spans="1:8">
      <c r="A61" s="25" t="s">
        <v>291</v>
      </c>
      <c r="B61" s="25" t="s">
        <v>216</v>
      </c>
      <c r="C61" s="25" t="s">
        <v>156</v>
      </c>
      <c r="D61" s="25" t="s">
        <v>162</v>
      </c>
      <c r="E61" s="25" t="s">
        <v>100</v>
      </c>
      <c r="F61" s="27">
        <v>10000</v>
      </c>
      <c r="G61" s="3">
        <f t="shared" si="0"/>
        <v>10000</v>
      </c>
    </row>
    <row r="62" spans="1:8">
      <c r="A62" s="25" t="s">
        <v>293</v>
      </c>
      <c r="B62" s="25" t="s">
        <v>294</v>
      </c>
      <c r="C62" s="25" t="s">
        <v>156</v>
      </c>
      <c r="D62" s="25" t="s">
        <v>162</v>
      </c>
      <c r="E62" s="25" t="s">
        <v>100</v>
      </c>
      <c r="F62" s="27">
        <v>-341044.23</v>
      </c>
      <c r="G62" s="3">
        <f t="shared" si="0"/>
        <v>-341044</v>
      </c>
    </row>
    <row r="63" spans="1:8">
      <c r="A63" s="25" t="s">
        <v>295</v>
      </c>
      <c r="B63" s="25" t="s">
        <v>296</v>
      </c>
      <c r="C63" s="25" t="s">
        <v>156</v>
      </c>
      <c r="D63" s="25" t="s">
        <v>162</v>
      </c>
      <c r="E63" s="25" t="s">
        <v>100</v>
      </c>
      <c r="F63" s="27">
        <v>295813.98</v>
      </c>
      <c r="G63" s="3">
        <f t="shared" si="0"/>
        <v>295814</v>
      </c>
    </row>
    <row r="64" spans="1:8">
      <c r="A64" s="25" t="s">
        <v>297</v>
      </c>
      <c r="B64" s="25" t="s">
        <v>298</v>
      </c>
      <c r="C64" s="25" t="s">
        <v>156</v>
      </c>
      <c r="D64" s="25" t="s">
        <v>162</v>
      </c>
      <c r="E64" s="25" t="s">
        <v>100</v>
      </c>
      <c r="F64" s="27">
        <v>698875.11</v>
      </c>
      <c r="G64" s="3">
        <f t="shared" si="0"/>
        <v>698875</v>
      </c>
    </row>
    <row r="65" spans="1:8">
      <c r="A65" s="25" t="s">
        <v>299</v>
      </c>
      <c r="B65" s="25" t="s">
        <v>300</v>
      </c>
      <c r="C65" s="25" t="s">
        <v>156</v>
      </c>
      <c r="D65" s="25" t="s">
        <v>162</v>
      </c>
      <c r="E65" s="25" t="s">
        <v>100</v>
      </c>
      <c r="F65" s="27">
        <v>251248.05</v>
      </c>
      <c r="G65" s="3">
        <f t="shared" si="0"/>
        <v>251248</v>
      </c>
    </row>
    <row r="66" spans="1:8">
      <c r="A66" s="25" t="s">
        <v>301</v>
      </c>
      <c r="B66" s="25" t="s">
        <v>302</v>
      </c>
      <c r="C66" s="25" t="s">
        <v>156</v>
      </c>
      <c r="D66" s="25" t="s">
        <v>162</v>
      </c>
      <c r="E66" s="25" t="s">
        <v>100</v>
      </c>
      <c r="F66" s="27">
        <v>-74389.679999999993</v>
      </c>
      <c r="G66" s="3">
        <f t="shared" si="0"/>
        <v>-74390</v>
      </c>
    </row>
    <row r="67" spans="1:8">
      <c r="A67" s="25" t="s">
        <v>303</v>
      </c>
      <c r="B67" s="25" t="s">
        <v>304</v>
      </c>
      <c r="C67" s="25" t="s">
        <v>156</v>
      </c>
      <c r="D67" s="25" t="s">
        <v>162</v>
      </c>
      <c r="E67" s="25" t="s">
        <v>100</v>
      </c>
      <c r="F67" s="27">
        <v>-2795</v>
      </c>
      <c r="G67" s="3">
        <f t="shared" si="0"/>
        <v>-2795</v>
      </c>
    </row>
    <row r="68" spans="1:8">
      <c r="A68" s="25" t="s">
        <v>305</v>
      </c>
      <c r="B68" s="25" t="s">
        <v>306</v>
      </c>
      <c r="C68" s="25" t="s">
        <v>156</v>
      </c>
      <c r="D68" s="25" t="s">
        <v>162</v>
      </c>
      <c r="E68" s="25" t="s">
        <v>100</v>
      </c>
      <c r="F68" s="27">
        <v>109290.91</v>
      </c>
      <c r="G68" s="3">
        <f t="shared" ref="G68:G131" si="1">ROUND(F68,0)</f>
        <v>109291</v>
      </c>
    </row>
    <row r="69" spans="1:8">
      <c r="A69" s="25" t="s">
        <v>307</v>
      </c>
      <c r="B69" s="25" t="s">
        <v>308</v>
      </c>
      <c r="C69" s="25" t="s">
        <v>156</v>
      </c>
      <c r="D69" s="25" t="s">
        <v>162</v>
      </c>
      <c r="E69" s="25" t="s">
        <v>100</v>
      </c>
      <c r="F69" s="27">
        <v>-15416.42</v>
      </c>
      <c r="G69" s="3">
        <f t="shared" si="1"/>
        <v>-15416</v>
      </c>
    </row>
    <row r="70" spans="1:8">
      <c r="A70" s="25" t="s">
        <v>309</v>
      </c>
      <c r="B70" s="25" t="s">
        <v>310</v>
      </c>
      <c r="C70" s="25" t="s">
        <v>156</v>
      </c>
      <c r="D70" s="25" t="s">
        <v>162</v>
      </c>
      <c r="E70" s="25" t="s">
        <v>100</v>
      </c>
      <c r="F70" s="27">
        <v>31122</v>
      </c>
      <c r="G70" s="3">
        <f t="shared" si="1"/>
        <v>31122</v>
      </c>
    </row>
    <row r="71" spans="1:8">
      <c r="A71" s="25" t="s">
        <v>311</v>
      </c>
      <c r="B71" s="25" t="s">
        <v>312</v>
      </c>
      <c r="C71" s="25" t="s">
        <v>156</v>
      </c>
      <c r="D71" s="25" t="s">
        <v>169</v>
      </c>
      <c r="E71" s="25" t="s">
        <v>313</v>
      </c>
      <c r="F71" s="27">
        <v>7968575.6799999997</v>
      </c>
      <c r="G71" s="3">
        <f t="shared" si="1"/>
        <v>7968576</v>
      </c>
    </row>
    <row r="72" spans="1:8">
      <c r="A72" s="25" t="s">
        <v>314</v>
      </c>
      <c r="B72" s="25" t="s">
        <v>315</v>
      </c>
      <c r="C72" s="25" t="s">
        <v>156</v>
      </c>
      <c r="D72" s="25" t="s">
        <v>157</v>
      </c>
      <c r="E72" s="25" t="s">
        <v>100</v>
      </c>
      <c r="F72" s="27">
        <v>0</v>
      </c>
      <c r="G72" s="3">
        <f t="shared" si="1"/>
        <v>0</v>
      </c>
    </row>
    <row r="73" spans="1:8">
      <c r="A73" s="25" t="s">
        <v>316</v>
      </c>
      <c r="B73" s="25" t="s">
        <v>317</v>
      </c>
      <c r="C73" s="25" t="s">
        <v>156</v>
      </c>
      <c r="D73" s="25" t="s">
        <v>162</v>
      </c>
      <c r="E73" s="25" t="s">
        <v>100</v>
      </c>
      <c r="F73" s="27">
        <v>306789.2</v>
      </c>
      <c r="G73" s="3">
        <f t="shared" si="1"/>
        <v>306789</v>
      </c>
    </row>
    <row r="74" spans="1:8">
      <c r="A74" s="25" t="s">
        <v>318</v>
      </c>
      <c r="B74" s="25" t="s">
        <v>319</v>
      </c>
      <c r="C74" s="25" t="s">
        <v>156</v>
      </c>
      <c r="D74" s="25" t="s">
        <v>162</v>
      </c>
      <c r="E74" s="25" t="s">
        <v>100</v>
      </c>
      <c r="F74" s="27">
        <v>4812.5</v>
      </c>
      <c r="G74" s="3">
        <f t="shared" si="1"/>
        <v>4813</v>
      </c>
    </row>
    <row r="75" spans="1:8">
      <c r="A75" s="25" t="s">
        <v>320</v>
      </c>
      <c r="B75" s="25" t="s">
        <v>321</v>
      </c>
      <c r="C75" s="25" t="s">
        <v>156</v>
      </c>
      <c r="D75" s="25" t="s">
        <v>162</v>
      </c>
      <c r="E75" s="25" t="s">
        <v>100</v>
      </c>
      <c r="F75" s="27">
        <v>101693.97</v>
      </c>
      <c r="G75" s="3">
        <f t="shared" si="1"/>
        <v>101694</v>
      </c>
    </row>
    <row r="76" spans="1:8">
      <c r="A76" s="25" t="s">
        <v>322</v>
      </c>
      <c r="B76" s="25" t="s">
        <v>323</v>
      </c>
      <c r="C76" s="25" t="s">
        <v>156</v>
      </c>
      <c r="D76" s="25" t="s">
        <v>162</v>
      </c>
      <c r="E76" s="25" t="s">
        <v>100</v>
      </c>
      <c r="F76" s="27">
        <v>241411.67</v>
      </c>
      <c r="G76" s="3">
        <f t="shared" si="1"/>
        <v>241412</v>
      </c>
      <c r="H76" s="28">
        <v>112983</v>
      </c>
    </row>
    <row r="77" spans="1:8">
      <c r="A77" s="25" t="s">
        <v>324</v>
      </c>
      <c r="B77" s="25" t="s">
        <v>325</v>
      </c>
      <c r="C77" s="25" t="s">
        <v>156</v>
      </c>
      <c r="D77" s="25" t="s">
        <v>162</v>
      </c>
      <c r="E77" s="25" t="s">
        <v>100</v>
      </c>
      <c r="F77" s="27">
        <v>28530.35</v>
      </c>
      <c r="G77" s="3">
        <f t="shared" si="1"/>
        <v>28530</v>
      </c>
    </row>
    <row r="78" spans="1:8">
      <c r="A78" s="25" t="s">
        <v>326</v>
      </c>
      <c r="B78" s="25" t="s">
        <v>2150</v>
      </c>
      <c r="C78" s="25" t="s">
        <v>156</v>
      </c>
      <c r="D78" s="25" t="s">
        <v>162</v>
      </c>
      <c r="E78" s="25" t="s">
        <v>100</v>
      </c>
      <c r="F78" s="27">
        <v>0</v>
      </c>
      <c r="G78" s="3">
        <f t="shared" si="1"/>
        <v>0</v>
      </c>
    </row>
    <row r="79" spans="1:8">
      <c r="A79" s="25" t="s">
        <v>328</v>
      </c>
      <c r="B79" s="25" t="s">
        <v>329</v>
      </c>
      <c r="C79" s="25" t="s">
        <v>156</v>
      </c>
      <c r="D79" s="25" t="s">
        <v>169</v>
      </c>
      <c r="E79" s="25" t="s">
        <v>330</v>
      </c>
      <c r="F79" s="27">
        <v>683237.69</v>
      </c>
      <c r="G79" s="3">
        <f t="shared" si="1"/>
        <v>683238</v>
      </c>
    </row>
    <row r="80" spans="1:8">
      <c r="A80" s="25" t="s">
        <v>331</v>
      </c>
      <c r="B80" s="25" t="s">
        <v>332</v>
      </c>
      <c r="C80" s="25" t="s">
        <v>156</v>
      </c>
      <c r="D80" s="25" t="s">
        <v>157</v>
      </c>
      <c r="E80" s="25" t="s">
        <v>100</v>
      </c>
      <c r="F80" s="27">
        <v>0</v>
      </c>
      <c r="G80" s="3">
        <f t="shared" si="1"/>
        <v>0</v>
      </c>
    </row>
    <row r="81" spans="1:8">
      <c r="A81" s="25" t="s">
        <v>333</v>
      </c>
      <c r="B81" s="25" t="s">
        <v>334</v>
      </c>
      <c r="C81" s="25" t="s">
        <v>156</v>
      </c>
      <c r="D81" s="25" t="s">
        <v>162</v>
      </c>
      <c r="E81" s="25" t="s">
        <v>100</v>
      </c>
      <c r="F81" s="27">
        <v>94294.87</v>
      </c>
      <c r="G81" s="3">
        <f t="shared" si="1"/>
        <v>94295</v>
      </c>
    </row>
    <row r="82" spans="1:8">
      <c r="A82" s="25" t="s">
        <v>335</v>
      </c>
      <c r="B82" s="25" t="s">
        <v>336</v>
      </c>
      <c r="C82" s="25" t="s">
        <v>156</v>
      </c>
      <c r="D82" s="25" t="s">
        <v>162</v>
      </c>
      <c r="E82" s="25" t="s">
        <v>100</v>
      </c>
      <c r="F82" s="27">
        <v>78939.61</v>
      </c>
      <c r="G82" s="3">
        <f t="shared" si="1"/>
        <v>78940</v>
      </c>
    </row>
    <row r="83" spans="1:8">
      <c r="A83" s="25" t="s">
        <v>337</v>
      </c>
      <c r="B83" s="25" t="s">
        <v>338</v>
      </c>
      <c r="C83" s="25" t="s">
        <v>156</v>
      </c>
      <c r="D83" s="25" t="s">
        <v>169</v>
      </c>
      <c r="E83" s="25" t="s">
        <v>339</v>
      </c>
      <c r="F83" s="27">
        <v>173234.48</v>
      </c>
      <c r="G83" s="3">
        <f t="shared" si="1"/>
        <v>173234</v>
      </c>
    </row>
    <row r="84" spans="1:8">
      <c r="A84" s="25" t="s">
        <v>340</v>
      </c>
      <c r="B84" s="25" t="s">
        <v>341</v>
      </c>
      <c r="C84" s="25" t="s">
        <v>156</v>
      </c>
      <c r="D84" s="25" t="s">
        <v>169</v>
      </c>
      <c r="E84" s="25" t="s">
        <v>342</v>
      </c>
      <c r="F84" s="27">
        <v>8825047.8499999996</v>
      </c>
      <c r="G84" s="3">
        <f t="shared" si="1"/>
        <v>8825048</v>
      </c>
    </row>
    <row r="85" spans="1:8">
      <c r="A85" s="25" t="s">
        <v>2151</v>
      </c>
      <c r="B85" s="25" t="s">
        <v>371</v>
      </c>
      <c r="C85" s="25" t="s">
        <v>156</v>
      </c>
      <c r="D85" s="25" t="s">
        <v>157</v>
      </c>
      <c r="E85" s="25" t="s">
        <v>100</v>
      </c>
      <c r="F85" s="26">
        <v>0</v>
      </c>
      <c r="G85" s="15">
        <f t="shared" si="1"/>
        <v>0</v>
      </c>
    </row>
    <row r="86" spans="1:8">
      <c r="A86" s="25" t="s">
        <v>343</v>
      </c>
      <c r="B86" s="25" t="s">
        <v>2183</v>
      </c>
      <c r="C86" s="25" t="s">
        <v>156</v>
      </c>
      <c r="D86" s="25" t="s">
        <v>157</v>
      </c>
      <c r="E86" s="25" t="s">
        <v>100</v>
      </c>
      <c r="F86" s="26">
        <v>0</v>
      </c>
      <c r="G86" s="15">
        <f t="shared" si="1"/>
        <v>0</v>
      </c>
    </row>
    <row r="87" spans="1:8">
      <c r="A87" s="25" t="s">
        <v>361</v>
      </c>
      <c r="B87" s="25" t="s">
        <v>2308</v>
      </c>
      <c r="C87" s="25" t="s">
        <v>156</v>
      </c>
      <c r="D87" s="25" t="s">
        <v>162</v>
      </c>
      <c r="E87" s="25" t="s">
        <v>100</v>
      </c>
      <c r="F87" s="26">
        <v>0</v>
      </c>
      <c r="G87" s="15">
        <f t="shared" si="1"/>
        <v>0</v>
      </c>
    </row>
    <row r="88" spans="1:8">
      <c r="A88" s="25" t="s">
        <v>363</v>
      </c>
      <c r="B88" s="25" t="s">
        <v>2309</v>
      </c>
      <c r="C88" s="25" t="s">
        <v>156</v>
      </c>
      <c r="D88" s="25" t="s">
        <v>162</v>
      </c>
      <c r="E88" s="25" t="s">
        <v>100</v>
      </c>
      <c r="F88" s="26">
        <v>0</v>
      </c>
      <c r="G88" s="15">
        <f t="shared" si="1"/>
        <v>0</v>
      </c>
    </row>
    <row r="89" spans="1:8">
      <c r="A89" s="25" t="s">
        <v>365</v>
      </c>
      <c r="B89" s="25" t="s">
        <v>2310</v>
      </c>
      <c r="C89" s="25" t="s">
        <v>156</v>
      </c>
      <c r="D89" s="25" t="s">
        <v>162</v>
      </c>
      <c r="E89" s="25" t="s">
        <v>100</v>
      </c>
      <c r="F89" s="26">
        <v>37227.5</v>
      </c>
      <c r="G89" s="15">
        <f t="shared" si="1"/>
        <v>37228</v>
      </c>
      <c r="H89" s="28">
        <v>-37228</v>
      </c>
    </row>
    <row r="90" spans="1:8">
      <c r="A90" s="25" t="s">
        <v>2227</v>
      </c>
      <c r="B90" s="25" t="s">
        <v>2228</v>
      </c>
      <c r="C90" s="25" t="s">
        <v>156</v>
      </c>
      <c r="D90" s="25" t="s">
        <v>169</v>
      </c>
      <c r="E90" s="25" t="s">
        <v>2229</v>
      </c>
      <c r="F90" s="26">
        <v>37227.5</v>
      </c>
      <c r="G90" s="15">
        <f t="shared" si="1"/>
        <v>37228</v>
      </c>
    </row>
    <row r="91" spans="1:8">
      <c r="A91" s="25" t="s">
        <v>370</v>
      </c>
      <c r="B91" s="25" t="s">
        <v>2154</v>
      </c>
      <c r="C91" s="25" t="s">
        <v>156</v>
      </c>
      <c r="D91" s="25" t="s">
        <v>157</v>
      </c>
      <c r="E91" s="25" t="s">
        <v>100</v>
      </c>
      <c r="F91" s="26">
        <v>0</v>
      </c>
      <c r="G91" s="15">
        <f t="shared" si="1"/>
        <v>0</v>
      </c>
    </row>
    <row r="92" spans="1:8">
      <c r="A92" s="25" t="s">
        <v>374</v>
      </c>
      <c r="B92" s="25" t="s">
        <v>53</v>
      </c>
      <c r="C92" s="25" t="s">
        <v>156</v>
      </c>
      <c r="D92" s="25" t="s">
        <v>162</v>
      </c>
      <c r="E92" s="25" t="s">
        <v>100</v>
      </c>
      <c r="F92" s="26">
        <v>90574.6</v>
      </c>
      <c r="G92" s="15">
        <f t="shared" si="1"/>
        <v>90575</v>
      </c>
    </row>
    <row r="93" spans="1:8">
      <c r="A93" s="25" t="s">
        <v>2155</v>
      </c>
      <c r="B93" s="25" t="s">
        <v>2156</v>
      </c>
      <c r="C93" s="25" t="s">
        <v>156</v>
      </c>
      <c r="D93" s="25" t="s">
        <v>162</v>
      </c>
      <c r="E93" s="25" t="s">
        <v>100</v>
      </c>
      <c r="F93" s="26">
        <v>0</v>
      </c>
      <c r="G93" s="15">
        <f t="shared" si="1"/>
        <v>0</v>
      </c>
    </row>
    <row r="94" spans="1:8">
      <c r="A94" s="25" t="s">
        <v>378</v>
      </c>
      <c r="B94" s="25" t="s">
        <v>379</v>
      </c>
      <c r="C94" s="25" t="s">
        <v>156</v>
      </c>
      <c r="D94" s="25" t="s">
        <v>169</v>
      </c>
      <c r="E94" s="25" t="s">
        <v>2157</v>
      </c>
      <c r="F94" s="26">
        <v>90574.6</v>
      </c>
      <c r="G94" s="15">
        <f t="shared" si="1"/>
        <v>90575</v>
      </c>
    </row>
    <row r="95" spans="1:8">
      <c r="A95" s="25" t="s">
        <v>2187</v>
      </c>
      <c r="B95" s="25" t="s">
        <v>2210</v>
      </c>
      <c r="C95" s="25" t="s">
        <v>156</v>
      </c>
      <c r="D95" s="25" t="s">
        <v>157</v>
      </c>
      <c r="E95" s="25" t="s">
        <v>100</v>
      </c>
      <c r="F95" s="26">
        <v>0</v>
      </c>
      <c r="G95" s="15">
        <f t="shared" si="1"/>
        <v>0</v>
      </c>
    </row>
    <row r="96" spans="1:8">
      <c r="A96" s="25" t="s">
        <v>2188</v>
      </c>
      <c r="B96" s="25" t="s">
        <v>2311</v>
      </c>
      <c r="C96" s="25" t="s">
        <v>156</v>
      </c>
      <c r="D96" s="25" t="s">
        <v>162</v>
      </c>
      <c r="E96" s="25" t="s">
        <v>100</v>
      </c>
      <c r="F96" s="26">
        <v>-284.5</v>
      </c>
      <c r="G96" s="15">
        <f t="shared" si="1"/>
        <v>-285</v>
      </c>
    </row>
    <row r="97" spans="1:8">
      <c r="A97" s="25" t="s">
        <v>2189</v>
      </c>
      <c r="B97" s="25" t="s">
        <v>2312</v>
      </c>
      <c r="C97" s="25" t="s">
        <v>156</v>
      </c>
      <c r="D97" s="25" t="s">
        <v>162</v>
      </c>
      <c r="E97" s="25" t="s">
        <v>100</v>
      </c>
      <c r="F97" s="26">
        <v>104835.89</v>
      </c>
      <c r="G97" s="15">
        <f t="shared" si="1"/>
        <v>104836</v>
      </c>
      <c r="H97" s="28">
        <v>90000</v>
      </c>
    </row>
    <row r="98" spans="1:8">
      <c r="A98" s="25" t="s">
        <v>2190</v>
      </c>
      <c r="B98" s="25" t="s">
        <v>350</v>
      </c>
      <c r="C98" s="25" t="s">
        <v>156</v>
      </c>
      <c r="D98" s="25" t="s">
        <v>162</v>
      </c>
      <c r="E98" s="25" t="s">
        <v>100</v>
      </c>
      <c r="F98" s="26">
        <v>0</v>
      </c>
      <c r="G98" s="15">
        <f t="shared" si="1"/>
        <v>0</v>
      </c>
    </row>
    <row r="99" spans="1:8">
      <c r="A99" s="25" t="s">
        <v>2191</v>
      </c>
      <c r="B99" s="25" t="s">
        <v>352</v>
      </c>
      <c r="C99" s="25" t="s">
        <v>156</v>
      </c>
      <c r="D99" s="25" t="s">
        <v>162</v>
      </c>
      <c r="E99" s="25" t="s">
        <v>100</v>
      </c>
      <c r="F99" s="26">
        <v>676696.26</v>
      </c>
      <c r="G99" s="15">
        <f t="shared" si="1"/>
        <v>676696</v>
      </c>
      <c r="H99" s="28">
        <f>-91750-584946</f>
        <v>-676696</v>
      </c>
    </row>
    <row r="100" spans="1:8">
      <c r="A100" s="25" t="s">
        <v>2192</v>
      </c>
      <c r="B100" s="25" t="s">
        <v>2313</v>
      </c>
      <c r="C100" s="25" t="s">
        <v>156</v>
      </c>
      <c r="D100" s="25" t="s">
        <v>162</v>
      </c>
      <c r="E100" s="25" t="s">
        <v>100</v>
      </c>
      <c r="F100" s="26">
        <v>776</v>
      </c>
      <c r="G100" s="15">
        <f t="shared" si="1"/>
        <v>776</v>
      </c>
    </row>
    <row r="101" spans="1:8">
      <c r="A101" s="25" t="s">
        <v>2193</v>
      </c>
      <c r="B101" s="25" t="s">
        <v>2271</v>
      </c>
      <c r="C101" s="25" t="s">
        <v>156</v>
      </c>
      <c r="D101" s="25" t="s">
        <v>162</v>
      </c>
      <c r="E101" s="25" t="s">
        <v>100</v>
      </c>
      <c r="F101" s="26">
        <v>39875</v>
      </c>
      <c r="G101" s="15">
        <f t="shared" si="1"/>
        <v>39875</v>
      </c>
      <c r="H101" s="28">
        <f>91750+51750</f>
        <v>143500</v>
      </c>
    </row>
    <row r="102" spans="1:8">
      <c r="A102" s="25" t="s">
        <v>2194</v>
      </c>
      <c r="B102" s="25" t="s">
        <v>2272</v>
      </c>
      <c r="C102" s="25" t="s">
        <v>156</v>
      </c>
      <c r="D102" s="25" t="s">
        <v>162</v>
      </c>
      <c r="E102" s="25" t="s">
        <v>100</v>
      </c>
      <c r="F102" s="26">
        <v>17817.46</v>
      </c>
      <c r="G102" s="15">
        <f t="shared" si="1"/>
        <v>17817</v>
      </c>
      <c r="H102" s="28">
        <v>5806</v>
      </c>
    </row>
    <row r="103" spans="1:8">
      <c r="A103" s="25" t="s">
        <v>2195</v>
      </c>
      <c r="B103" s="25" t="s">
        <v>2273</v>
      </c>
      <c r="C103" s="25" t="s">
        <v>156</v>
      </c>
      <c r="D103" s="25" t="s">
        <v>162</v>
      </c>
      <c r="E103" s="25" t="s">
        <v>100</v>
      </c>
      <c r="F103" s="26">
        <v>9580.7999999999993</v>
      </c>
      <c r="G103" s="15">
        <f t="shared" si="1"/>
        <v>9581</v>
      </c>
    </row>
    <row r="104" spans="1:8">
      <c r="A104" s="25" t="s">
        <v>2232</v>
      </c>
      <c r="B104" s="25" t="s">
        <v>2214</v>
      </c>
      <c r="C104" s="25" t="s">
        <v>156</v>
      </c>
      <c r="D104" s="25" t="s">
        <v>169</v>
      </c>
      <c r="E104" s="25" t="s">
        <v>2233</v>
      </c>
      <c r="F104" s="26">
        <v>849296.91</v>
      </c>
      <c r="G104" s="15">
        <f t="shared" si="1"/>
        <v>849297</v>
      </c>
    </row>
    <row r="105" spans="1:8">
      <c r="A105" s="25" t="s">
        <v>381</v>
      </c>
      <c r="B105" s="25" t="s">
        <v>382</v>
      </c>
      <c r="C105" s="25" t="s">
        <v>156</v>
      </c>
      <c r="D105" s="25" t="s">
        <v>157</v>
      </c>
      <c r="E105" s="25" t="s">
        <v>100</v>
      </c>
      <c r="F105" s="26">
        <v>0</v>
      </c>
      <c r="G105" s="15">
        <f t="shared" si="1"/>
        <v>0</v>
      </c>
    </row>
    <row r="106" spans="1:8">
      <c r="A106" s="25" t="s">
        <v>383</v>
      </c>
      <c r="B106" s="25" t="s">
        <v>384</v>
      </c>
      <c r="C106" s="25" t="s">
        <v>156</v>
      </c>
      <c r="D106" s="25" t="s">
        <v>162</v>
      </c>
      <c r="E106" s="25" t="s">
        <v>100</v>
      </c>
      <c r="F106" s="26">
        <v>93615.25</v>
      </c>
      <c r="G106" s="15">
        <f t="shared" si="1"/>
        <v>93615</v>
      </c>
    </row>
    <row r="107" spans="1:8">
      <c r="A107" s="25" t="s">
        <v>385</v>
      </c>
      <c r="B107" s="25" t="s">
        <v>386</v>
      </c>
      <c r="C107" s="25" t="s">
        <v>156</v>
      </c>
      <c r="D107" s="25" t="s">
        <v>162</v>
      </c>
      <c r="E107" s="25" t="s">
        <v>100</v>
      </c>
      <c r="F107" s="26">
        <v>51127.03</v>
      </c>
      <c r="G107" s="15">
        <f t="shared" si="1"/>
        <v>51127</v>
      </c>
    </row>
    <row r="108" spans="1:8">
      <c r="A108" s="25" t="s">
        <v>387</v>
      </c>
      <c r="B108" s="25" t="s">
        <v>2234</v>
      </c>
      <c r="C108" s="25" t="s">
        <v>156</v>
      </c>
      <c r="D108" s="25" t="s">
        <v>162</v>
      </c>
      <c r="E108" s="25" t="s">
        <v>100</v>
      </c>
      <c r="F108" s="26">
        <v>0</v>
      </c>
      <c r="G108" s="15">
        <f t="shared" si="1"/>
        <v>0</v>
      </c>
    </row>
    <row r="109" spans="1:8">
      <c r="A109" s="25" t="s">
        <v>389</v>
      </c>
      <c r="B109" s="25" t="s">
        <v>390</v>
      </c>
      <c r="C109" s="25" t="s">
        <v>156</v>
      </c>
      <c r="D109" s="25" t="s">
        <v>162</v>
      </c>
      <c r="E109" s="25" t="s">
        <v>100</v>
      </c>
      <c r="F109" s="26">
        <v>10291.26</v>
      </c>
      <c r="G109" s="15">
        <f t="shared" si="1"/>
        <v>10291</v>
      </c>
    </row>
    <row r="110" spans="1:8">
      <c r="A110" s="25" t="s">
        <v>391</v>
      </c>
      <c r="B110" s="25" t="s">
        <v>2299</v>
      </c>
      <c r="C110" s="25" t="s">
        <v>156</v>
      </c>
      <c r="D110" s="25" t="s">
        <v>162</v>
      </c>
      <c r="E110" s="25" t="s">
        <v>100</v>
      </c>
      <c r="F110" s="26">
        <v>2786.75</v>
      </c>
      <c r="G110" s="15">
        <f t="shared" si="1"/>
        <v>2787</v>
      </c>
    </row>
    <row r="111" spans="1:8">
      <c r="A111" s="25" t="s">
        <v>393</v>
      </c>
      <c r="B111" s="25" t="s">
        <v>394</v>
      </c>
      <c r="C111" s="25" t="s">
        <v>156</v>
      </c>
      <c r="D111" s="25" t="s">
        <v>162</v>
      </c>
      <c r="E111" s="25" t="s">
        <v>100</v>
      </c>
      <c r="F111" s="26">
        <v>798</v>
      </c>
      <c r="G111" s="15">
        <f t="shared" si="1"/>
        <v>798</v>
      </c>
    </row>
    <row r="112" spans="1:8">
      <c r="A112" s="25" t="s">
        <v>395</v>
      </c>
      <c r="B112" s="25" t="s">
        <v>396</v>
      </c>
      <c r="C112" s="25" t="s">
        <v>156</v>
      </c>
      <c r="D112" s="25" t="s">
        <v>162</v>
      </c>
      <c r="E112" s="25" t="s">
        <v>100</v>
      </c>
      <c r="F112" s="26">
        <v>9088.2999999999993</v>
      </c>
      <c r="G112" s="15">
        <f t="shared" si="1"/>
        <v>9088</v>
      </c>
    </row>
    <row r="113" spans="1:7">
      <c r="A113" s="25" t="s">
        <v>397</v>
      </c>
      <c r="B113" s="25" t="s">
        <v>398</v>
      </c>
      <c r="C113" s="25" t="s">
        <v>156</v>
      </c>
      <c r="D113" s="25" t="s">
        <v>162</v>
      </c>
      <c r="E113" s="25" t="s">
        <v>100</v>
      </c>
      <c r="F113" s="26">
        <v>45773.919999999998</v>
      </c>
      <c r="G113" s="15">
        <f t="shared" si="1"/>
        <v>45774</v>
      </c>
    </row>
    <row r="114" spans="1:7">
      <c r="A114" s="25" t="s">
        <v>399</v>
      </c>
      <c r="B114" s="25" t="s">
        <v>400</v>
      </c>
      <c r="C114" s="25" t="s">
        <v>156</v>
      </c>
      <c r="D114" s="25" t="s">
        <v>162</v>
      </c>
      <c r="E114" s="25" t="s">
        <v>100</v>
      </c>
      <c r="F114" s="26">
        <v>20379.3</v>
      </c>
      <c r="G114" s="15">
        <f t="shared" si="1"/>
        <v>20379</v>
      </c>
    </row>
    <row r="115" spans="1:7">
      <c r="A115" s="25" t="s">
        <v>401</v>
      </c>
      <c r="B115" s="25" t="s">
        <v>402</v>
      </c>
      <c r="C115" s="25" t="s">
        <v>156</v>
      </c>
      <c r="D115" s="25" t="s">
        <v>162</v>
      </c>
      <c r="E115" s="25" t="s">
        <v>100</v>
      </c>
      <c r="F115" s="26">
        <v>6394.08</v>
      </c>
      <c r="G115" s="15">
        <f t="shared" si="1"/>
        <v>6394</v>
      </c>
    </row>
    <row r="116" spans="1:7">
      <c r="A116" s="25" t="s">
        <v>403</v>
      </c>
      <c r="B116" s="25" t="s">
        <v>2023</v>
      </c>
      <c r="C116" s="25" t="s">
        <v>156</v>
      </c>
      <c r="D116" s="25" t="s">
        <v>162</v>
      </c>
      <c r="E116" s="25" t="s">
        <v>100</v>
      </c>
      <c r="F116" s="26">
        <v>5226.95</v>
      </c>
      <c r="G116" s="15">
        <f t="shared" si="1"/>
        <v>5227</v>
      </c>
    </row>
    <row r="117" spans="1:7">
      <c r="A117" s="25" t="s">
        <v>405</v>
      </c>
      <c r="B117" s="25" t="s">
        <v>2215</v>
      </c>
      <c r="C117" s="25" t="s">
        <v>156</v>
      </c>
      <c r="D117" s="25" t="s">
        <v>162</v>
      </c>
      <c r="E117" s="25" t="s">
        <v>100</v>
      </c>
      <c r="F117" s="26">
        <v>0</v>
      </c>
      <c r="G117" s="15">
        <f t="shared" si="1"/>
        <v>0</v>
      </c>
    </row>
    <row r="118" spans="1:7">
      <c r="A118" s="25" t="s">
        <v>407</v>
      </c>
      <c r="B118" s="25" t="s">
        <v>2216</v>
      </c>
      <c r="C118" s="25" t="s">
        <v>156</v>
      </c>
      <c r="D118" s="25" t="s">
        <v>162</v>
      </c>
      <c r="E118" s="25" t="s">
        <v>100</v>
      </c>
      <c r="F118" s="26">
        <v>0</v>
      </c>
      <c r="G118" s="15">
        <f t="shared" si="1"/>
        <v>0</v>
      </c>
    </row>
    <row r="119" spans="1:7">
      <c r="A119" s="25" t="s">
        <v>408</v>
      </c>
      <c r="B119" s="25" t="s">
        <v>409</v>
      </c>
      <c r="C119" s="25" t="s">
        <v>156</v>
      </c>
      <c r="D119" s="25" t="s">
        <v>169</v>
      </c>
      <c r="E119" s="25" t="s">
        <v>410</v>
      </c>
      <c r="F119" s="26">
        <v>245480.84</v>
      </c>
      <c r="G119" s="15">
        <f t="shared" si="1"/>
        <v>245481</v>
      </c>
    </row>
    <row r="120" spans="1:7">
      <c r="A120" s="25" t="s">
        <v>411</v>
      </c>
      <c r="B120" s="25" t="s">
        <v>412</v>
      </c>
      <c r="C120" s="25" t="s">
        <v>156</v>
      </c>
      <c r="D120" s="25" t="s">
        <v>157</v>
      </c>
      <c r="E120" s="25" t="s">
        <v>100</v>
      </c>
      <c r="F120" s="26">
        <v>0</v>
      </c>
      <c r="G120" s="15">
        <f t="shared" si="1"/>
        <v>0</v>
      </c>
    </row>
    <row r="121" spans="1:7">
      <c r="A121" s="25" t="s">
        <v>413</v>
      </c>
      <c r="B121" s="25" t="s">
        <v>414</v>
      </c>
      <c r="C121" s="25" t="s">
        <v>156</v>
      </c>
      <c r="D121" s="25" t="s">
        <v>162</v>
      </c>
      <c r="E121" s="25" t="s">
        <v>100</v>
      </c>
      <c r="F121" s="26">
        <v>0</v>
      </c>
      <c r="G121" s="15">
        <f t="shared" si="1"/>
        <v>0</v>
      </c>
    </row>
    <row r="122" spans="1:7">
      <c r="A122" s="25" t="s">
        <v>415</v>
      </c>
      <c r="B122" s="25" t="s">
        <v>416</v>
      </c>
      <c r="C122" s="25" t="s">
        <v>156</v>
      </c>
      <c r="D122" s="25" t="s">
        <v>169</v>
      </c>
      <c r="E122" s="25" t="s">
        <v>417</v>
      </c>
      <c r="F122" s="26">
        <v>0</v>
      </c>
      <c r="G122" s="15">
        <f t="shared" si="1"/>
        <v>0</v>
      </c>
    </row>
    <row r="123" spans="1:7">
      <c r="A123" s="25" t="s">
        <v>418</v>
      </c>
      <c r="B123" s="25" t="s">
        <v>419</v>
      </c>
      <c r="C123" s="25" t="s">
        <v>156</v>
      </c>
      <c r="D123" s="25" t="s">
        <v>157</v>
      </c>
      <c r="E123" s="25" t="s">
        <v>100</v>
      </c>
      <c r="F123" s="26">
        <v>0</v>
      </c>
      <c r="G123" s="15">
        <f t="shared" si="1"/>
        <v>0</v>
      </c>
    </row>
    <row r="124" spans="1:7">
      <c r="A124" s="25" t="s">
        <v>420</v>
      </c>
      <c r="B124" s="25" t="s">
        <v>56</v>
      </c>
      <c r="C124" s="25" t="s">
        <v>156</v>
      </c>
      <c r="D124" s="25" t="s">
        <v>162</v>
      </c>
      <c r="E124" s="25" t="s">
        <v>100</v>
      </c>
      <c r="F124" s="26">
        <v>45085.95</v>
      </c>
      <c r="G124" s="15">
        <f t="shared" si="1"/>
        <v>45086</v>
      </c>
    </row>
    <row r="125" spans="1:7">
      <c r="A125" s="25" t="s">
        <v>421</v>
      </c>
      <c r="B125" s="25" t="s">
        <v>422</v>
      </c>
      <c r="C125" s="25" t="s">
        <v>156</v>
      </c>
      <c r="D125" s="25" t="s">
        <v>169</v>
      </c>
      <c r="E125" s="25" t="s">
        <v>423</v>
      </c>
      <c r="F125" s="26">
        <v>45085.95</v>
      </c>
      <c r="G125" s="15">
        <f t="shared" si="1"/>
        <v>45086</v>
      </c>
    </row>
    <row r="126" spans="1:7">
      <c r="A126" s="25" t="s">
        <v>2158</v>
      </c>
      <c r="B126" s="25" t="s">
        <v>425</v>
      </c>
      <c r="C126" s="25" t="s">
        <v>156</v>
      </c>
      <c r="D126" s="25" t="s">
        <v>169</v>
      </c>
      <c r="E126" s="25" t="s">
        <v>2159</v>
      </c>
      <c r="F126" s="26">
        <v>1267665.8</v>
      </c>
      <c r="G126" s="15">
        <f t="shared" si="1"/>
        <v>1267666</v>
      </c>
    </row>
    <row r="127" spans="1:7">
      <c r="A127" s="25" t="s">
        <v>427</v>
      </c>
      <c r="B127" s="25" t="s">
        <v>428</v>
      </c>
      <c r="C127" s="25" t="s">
        <v>156</v>
      </c>
      <c r="D127" s="25" t="s">
        <v>157</v>
      </c>
      <c r="E127" s="25" t="s">
        <v>100</v>
      </c>
      <c r="F127" s="26">
        <v>0</v>
      </c>
      <c r="G127" s="15">
        <f t="shared" si="1"/>
        <v>0</v>
      </c>
    </row>
    <row r="128" spans="1:7">
      <c r="A128" s="25" t="s">
        <v>430</v>
      </c>
      <c r="B128" s="25" t="s">
        <v>2314</v>
      </c>
      <c r="C128" s="25" t="s">
        <v>156</v>
      </c>
      <c r="D128" s="25" t="s">
        <v>162</v>
      </c>
      <c r="E128" s="25" t="s">
        <v>100</v>
      </c>
      <c r="F128" s="26">
        <v>0</v>
      </c>
      <c r="G128" s="15">
        <f t="shared" si="1"/>
        <v>0</v>
      </c>
    </row>
    <row r="129" spans="1:20">
      <c r="A129" s="25" t="s">
        <v>439</v>
      </c>
      <c r="B129" s="25" t="s">
        <v>440</v>
      </c>
      <c r="C129" s="25" t="s">
        <v>156</v>
      </c>
      <c r="D129" s="25" t="s">
        <v>162</v>
      </c>
      <c r="E129" s="25" t="s">
        <v>100</v>
      </c>
      <c r="F129" s="26">
        <v>-68772.009999999995</v>
      </c>
      <c r="G129" s="15">
        <f t="shared" si="1"/>
        <v>-68772</v>
      </c>
    </row>
    <row r="130" spans="1:20">
      <c r="A130" s="25" t="s">
        <v>441</v>
      </c>
      <c r="B130" s="25" t="s">
        <v>2160</v>
      </c>
      <c r="C130" s="25" t="s">
        <v>156</v>
      </c>
      <c r="D130" s="25" t="s">
        <v>162</v>
      </c>
      <c r="E130" s="25" t="s">
        <v>100</v>
      </c>
      <c r="F130" s="26">
        <v>0</v>
      </c>
      <c r="G130" s="15">
        <f t="shared" si="1"/>
        <v>0</v>
      </c>
    </row>
    <row r="131" spans="1:20">
      <c r="A131" s="25" t="s">
        <v>443</v>
      </c>
      <c r="B131" s="25" t="s">
        <v>216</v>
      </c>
      <c r="C131" s="25" t="s">
        <v>156</v>
      </c>
      <c r="D131" s="25" t="s">
        <v>162</v>
      </c>
      <c r="E131" s="25" t="s">
        <v>100</v>
      </c>
      <c r="F131" s="26">
        <v>46162.5</v>
      </c>
      <c r="G131" s="15">
        <f t="shared" si="1"/>
        <v>46163</v>
      </c>
    </row>
    <row r="132" spans="1:20">
      <c r="A132" s="25" t="s">
        <v>445</v>
      </c>
      <c r="B132" s="25" t="s">
        <v>2274</v>
      </c>
      <c r="C132" s="25" t="s">
        <v>156</v>
      </c>
      <c r="D132" s="25" t="s">
        <v>162</v>
      </c>
      <c r="E132" s="25" t="s">
        <v>100</v>
      </c>
      <c r="F132" s="26">
        <v>0</v>
      </c>
      <c r="G132" s="15">
        <f t="shared" ref="G132:G196" si="2">ROUND(F132,0)</f>
        <v>0</v>
      </c>
    </row>
    <row r="133" spans="1:20">
      <c r="A133" s="25" t="s">
        <v>447</v>
      </c>
      <c r="B133" s="25" t="s">
        <v>2315</v>
      </c>
      <c r="C133" s="25" t="s">
        <v>156</v>
      </c>
      <c r="D133" s="25" t="s">
        <v>162</v>
      </c>
      <c r="E133" s="25" t="s">
        <v>100</v>
      </c>
      <c r="F133" s="26">
        <v>807049.79</v>
      </c>
      <c r="G133" s="15">
        <f t="shared" si="2"/>
        <v>807050</v>
      </c>
      <c r="H133" s="28">
        <v>8125</v>
      </c>
    </row>
    <row r="134" spans="1:20">
      <c r="A134" s="25" t="s">
        <v>449</v>
      </c>
      <c r="B134" s="25" t="s">
        <v>2316</v>
      </c>
      <c r="C134" s="25" t="s">
        <v>156</v>
      </c>
      <c r="D134" s="25" t="s">
        <v>162</v>
      </c>
      <c r="E134" s="25" t="s">
        <v>100</v>
      </c>
      <c r="F134" s="26">
        <v>0</v>
      </c>
      <c r="G134" s="15">
        <f t="shared" si="2"/>
        <v>0</v>
      </c>
    </row>
    <row r="135" spans="1:20">
      <c r="A135" s="25" t="s">
        <v>451</v>
      </c>
      <c r="B135" s="25" t="s">
        <v>2161</v>
      </c>
      <c r="C135" s="25" t="s">
        <v>156</v>
      </c>
      <c r="D135" s="25" t="s">
        <v>162</v>
      </c>
      <c r="E135" s="25" t="s">
        <v>100</v>
      </c>
      <c r="F135" s="26">
        <v>220352.37</v>
      </c>
      <c r="G135" s="15">
        <f t="shared" si="2"/>
        <v>220352</v>
      </c>
    </row>
    <row r="136" spans="1:20">
      <c r="A136" s="25" t="s">
        <v>453</v>
      </c>
      <c r="B136" s="25" t="s">
        <v>2235</v>
      </c>
      <c r="C136" s="25" t="s">
        <v>156</v>
      </c>
      <c r="D136" s="25" t="s">
        <v>162</v>
      </c>
      <c r="E136" s="25" t="s">
        <v>100</v>
      </c>
      <c r="F136" s="26">
        <v>0</v>
      </c>
      <c r="G136" s="15">
        <f t="shared" si="2"/>
        <v>0</v>
      </c>
    </row>
    <row r="137" spans="1:20">
      <c r="A137" s="25" t="s">
        <v>455</v>
      </c>
      <c r="B137" s="25" t="s">
        <v>456</v>
      </c>
      <c r="C137" s="25" t="s">
        <v>156</v>
      </c>
      <c r="D137" s="25" t="s">
        <v>162</v>
      </c>
      <c r="E137" s="25" t="s">
        <v>100</v>
      </c>
      <c r="F137" s="26">
        <v>198.4</v>
      </c>
      <c r="G137" s="15">
        <f t="shared" si="2"/>
        <v>198</v>
      </c>
    </row>
    <row r="138" spans="1:20">
      <c r="A138" s="25" t="s">
        <v>457</v>
      </c>
      <c r="B138" s="25" t="s">
        <v>458</v>
      </c>
      <c r="C138" s="25" t="s">
        <v>156</v>
      </c>
      <c r="D138" s="25" t="s">
        <v>162</v>
      </c>
      <c r="E138" s="25" t="s">
        <v>100</v>
      </c>
      <c r="F138" s="26">
        <v>53193.919999999998</v>
      </c>
      <c r="G138" s="15">
        <f t="shared" si="2"/>
        <v>53194</v>
      </c>
      <c r="H138" s="28">
        <v>21840</v>
      </c>
    </row>
    <row r="139" spans="1:20">
      <c r="A139" s="25" t="s">
        <v>459</v>
      </c>
      <c r="B139" s="25" t="s">
        <v>460</v>
      </c>
      <c r="C139" s="25" t="s">
        <v>156</v>
      </c>
      <c r="D139" s="25" t="s">
        <v>162</v>
      </c>
      <c r="E139" s="25" t="s">
        <v>100</v>
      </c>
      <c r="F139" s="26">
        <v>16407.66</v>
      </c>
      <c r="G139" s="15">
        <f t="shared" si="2"/>
        <v>16408</v>
      </c>
    </row>
    <row r="140" spans="1:20" ht="16">
      <c r="A140" s="25" t="s">
        <v>461</v>
      </c>
      <c r="B140" s="25" t="s">
        <v>462</v>
      </c>
      <c r="C140" s="25" t="s">
        <v>156</v>
      </c>
      <c r="D140" s="25" t="s">
        <v>169</v>
      </c>
      <c r="E140" s="25" t="s">
        <v>463</v>
      </c>
      <c r="F140" s="26">
        <v>1074592.6299999999</v>
      </c>
      <c r="G140" s="15">
        <f t="shared" si="2"/>
        <v>1074593</v>
      </c>
      <c r="L140" s="269" t="s">
        <v>429</v>
      </c>
      <c r="M140" s="268"/>
      <c r="N140" s="268"/>
      <c r="O140" s="268"/>
      <c r="P140" s="268"/>
      <c r="Q140" s="268"/>
      <c r="R140" s="268"/>
      <c r="S140" s="268"/>
      <c r="T140" s="268"/>
    </row>
    <row r="141" spans="1:20" ht="24">
      <c r="A141" s="25" t="s">
        <v>464</v>
      </c>
      <c r="B141" s="25" t="s">
        <v>2236</v>
      </c>
      <c r="C141" s="25" t="s">
        <v>156</v>
      </c>
      <c r="D141" s="25" t="s">
        <v>157</v>
      </c>
      <c r="E141" s="25" t="s">
        <v>100</v>
      </c>
      <c r="F141" s="26">
        <v>0</v>
      </c>
      <c r="G141" s="3">
        <f t="shared" si="2"/>
        <v>0</v>
      </c>
      <c r="L141" s="270" t="s">
        <v>432</v>
      </c>
      <c r="M141" s="270" t="s">
        <v>148</v>
      </c>
      <c r="N141" s="270" t="s">
        <v>433</v>
      </c>
      <c r="O141" s="270" t="s">
        <v>475</v>
      </c>
      <c r="P141" s="270" t="s">
        <v>437</v>
      </c>
      <c r="Q141" s="270" t="s">
        <v>476</v>
      </c>
      <c r="R141" s="270" t="s">
        <v>477</v>
      </c>
    </row>
    <row r="142" spans="1:20">
      <c r="A142" s="25" t="s">
        <v>466</v>
      </c>
      <c r="B142" s="25" t="s">
        <v>2237</v>
      </c>
      <c r="C142" s="25" t="s">
        <v>156</v>
      </c>
      <c r="D142" s="25" t="s">
        <v>157</v>
      </c>
      <c r="E142" s="25" t="s">
        <v>100</v>
      </c>
      <c r="F142" s="26">
        <v>0</v>
      </c>
      <c r="G142" s="3">
        <f t="shared" si="2"/>
        <v>0</v>
      </c>
      <c r="L142" s="271" t="s">
        <v>464</v>
      </c>
      <c r="M142" s="271" t="s">
        <v>2236</v>
      </c>
      <c r="N142" s="272">
        <v>0</v>
      </c>
      <c r="O142" s="272">
        <v>0</v>
      </c>
      <c r="P142" s="272">
        <v>0</v>
      </c>
      <c r="Q142" s="272">
        <v>0</v>
      </c>
      <c r="R142" s="272">
        <v>0</v>
      </c>
    </row>
    <row r="143" spans="1:20">
      <c r="A143" s="25" t="s">
        <v>2238</v>
      </c>
      <c r="B143" s="25" t="s">
        <v>600</v>
      </c>
      <c r="C143" s="25" t="s">
        <v>156</v>
      </c>
      <c r="D143" s="25" t="s">
        <v>157</v>
      </c>
      <c r="E143" s="25" t="s">
        <v>100</v>
      </c>
      <c r="F143" s="26">
        <v>0</v>
      </c>
      <c r="G143" s="3">
        <f t="shared" si="2"/>
        <v>0</v>
      </c>
      <c r="L143" s="271" t="s">
        <v>466</v>
      </c>
      <c r="M143" s="271" t="s">
        <v>2237</v>
      </c>
      <c r="N143" s="272">
        <v>0</v>
      </c>
      <c r="O143" s="272">
        <v>0</v>
      </c>
      <c r="P143" s="272">
        <v>0</v>
      </c>
      <c r="Q143" s="272">
        <v>0</v>
      </c>
      <c r="R143" s="272">
        <v>0</v>
      </c>
    </row>
    <row r="144" spans="1:20">
      <c r="A144" s="25" t="s">
        <v>2239</v>
      </c>
      <c r="B144" s="25" t="s">
        <v>602</v>
      </c>
      <c r="C144" s="25" t="s">
        <v>156</v>
      </c>
      <c r="D144" s="25" t="s">
        <v>162</v>
      </c>
      <c r="E144" s="25" t="s">
        <v>100</v>
      </c>
      <c r="F144" s="26">
        <v>-22767.3</v>
      </c>
      <c r="G144" s="3">
        <f t="shared" si="2"/>
        <v>-22767</v>
      </c>
      <c r="L144" s="271" t="s">
        <v>2238</v>
      </c>
      <c r="M144" s="271" t="s">
        <v>600</v>
      </c>
      <c r="N144" s="272">
        <v>0</v>
      </c>
      <c r="O144" s="272">
        <v>0</v>
      </c>
      <c r="P144" s="272">
        <v>0</v>
      </c>
      <c r="Q144" s="272">
        <v>0</v>
      </c>
      <c r="R144" s="272">
        <v>0</v>
      </c>
    </row>
    <row r="145" spans="1:18">
      <c r="A145" s="25" t="s">
        <v>2240</v>
      </c>
      <c r="B145" s="25" t="s">
        <v>604</v>
      </c>
      <c r="C145" s="25" t="s">
        <v>156</v>
      </c>
      <c r="D145" s="25" t="s">
        <v>162</v>
      </c>
      <c r="E145" s="25" t="s">
        <v>100</v>
      </c>
      <c r="F145" s="26">
        <v>77641.87</v>
      </c>
      <c r="G145" s="3">
        <f t="shared" si="2"/>
        <v>77642</v>
      </c>
      <c r="L145" s="271" t="s">
        <v>2239</v>
      </c>
      <c r="M145" s="271" t="s">
        <v>602</v>
      </c>
      <c r="N145" s="272">
        <v>-26219.919999999998</v>
      </c>
      <c r="O145" s="272">
        <v>0</v>
      </c>
      <c r="P145" s="272">
        <v>0</v>
      </c>
      <c r="Q145" s="272">
        <v>-26219.919999999998</v>
      </c>
      <c r="R145" s="272">
        <v>0</v>
      </c>
    </row>
    <row r="146" spans="1:18">
      <c r="A146" s="25" t="s">
        <v>2241</v>
      </c>
      <c r="B146" s="25" t="s">
        <v>606</v>
      </c>
      <c r="C146" s="25" t="s">
        <v>156</v>
      </c>
      <c r="D146" s="25" t="s">
        <v>162</v>
      </c>
      <c r="E146" s="25" t="s">
        <v>100</v>
      </c>
      <c r="F146" s="26">
        <v>2970</v>
      </c>
      <c r="G146" s="3">
        <f t="shared" si="2"/>
        <v>2970</v>
      </c>
      <c r="L146" s="271" t="s">
        <v>2240</v>
      </c>
      <c r="M146" s="271" t="s">
        <v>604</v>
      </c>
      <c r="N146" s="272">
        <v>78055.37</v>
      </c>
      <c r="O146" s="272">
        <v>0</v>
      </c>
      <c r="P146" s="272">
        <v>0</v>
      </c>
      <c r="Q146" s="272">
        <v>78055.37</v>
      </c>
      <c r="R146" s="272">
        <v>0</v>
      </c>
    </row>
    <row r="147" spans="1:18">
      <c r="A147" s="25" t="s">
        <v>2242</v>
      </c>
      <c r="B147" s="25" t="s">
        <v>608</v>
      </c>
      <c r="C147" s="25" t="s">
        <v>156</v>
      </c>
      <c r="D147" s="25" t="s">
        <v>162</v>
      </c>
      <c r="E147" s="25" t="s">
        <v>100</v>
      </c>
      <c r="F147" s="26">
        <v>25606.639999999999</v>
      </c>
      <c r="G147" s="3">
        <f t="shared" si="2"/>
        <v>25607</v>
      </c>
      <c r="L147" s="271" t="s">
        <v>2241</v>
      </c>
      <c r="M147" s="271" t="s">
        <v>606</v>
      </c>
      <c r="N147" s="272">
        <v>2970</v>
      </c>
      <c r="O147" s="272">
        <v>0</v>
      </c>
      <c r="P147" s="272">
        <v>0</v>
      </c>
      <c r="Q147" s="272">
        <v>2970</v>
      </c>
      <c r="R147" s="272">
        <v>0</v>
      </c>
    </row>
    <row r="148" spans="1:18">
      <c r="A148" s="25" t="s">
        <v>2243</v>
      </c>
      <c r="B148" s="25" t="s">
        <v>610</v>
      </c>
      <c r="C148" s="25" t="s">
        <v>156</v>
      </c>
      <c r="D148" s="25" t="s">
        <v>162</v>
      </c>
      <c r="E148" s="25" t="s">
        <v>100</v>
      </c>
      <c r="F148" s="26">
        <v>3880.08</v>
      </c>
      <c r="G148" s="3">
        <f t="shared" si="2"/>
        <v>3880</v>
      </c>
      <c r="L148" s="271" t="s">
        <v>2242</v>
      </c>
      <c r="M148" s="271" t="s">
        <v>608</v>
      </c>
      <c r="N148" s="272">
        <v>25606.639999999999</v>
      </c>
      <c r="O148" s="272">
        <v>0</v>
      </c>
      <c r="P148" s="272">
        <v>0</v>
      </c>
      <c r="Q148" s="272">
        <v>25606.639999999999</v>
      </c>
      <c r="R148" s="272">
        <v>0</v>
      </c>
    </row>
    <row r="149" spans="1:18">
      <c r="A149" s="25" t="s">
        <v>2244</v>
      </c>
      <c r="B149" s="25" t="s">
        <v>612</v>
      </c>
      <c r="C149" s="25" t="s">
        <v>156</v>
      </c>
      <c r="D149" s="25" t="s">
        <v>162</v>
      </c>
      <c r="E149" s="25" t="s">
        <v>100</v>
      </c>
      <c r="F149" s="26">
        <v>0</v>
      </c>
      <c r="G149" s="3">
        <f t="shared" si="2"/>
        <v>0</v>
      </c>
      <c r="L149" s="271" t="s">
        <v>2243</v>
      </c>
      <c r="M149" s="271" t="s">
        <v>610</v>
      </c>
      <c r="N149" s="272">
        <v>3818.23</v>
      </c>
      <c r="O149" s="272">
        <v>0</v>
      </c>
      <c r="P149" s="272">
        <v>0</v>
      </c>
      <c r="Q149" s="272">
        <v>3818.23</v>
      </c>
      <c r="R149" s="272">
        <v>0</v>
      </c>
    </row>
    <row r="150" spans="1:18">
      <c r="A150" s="25" t="s">
        <v>2245</v>
      </c>
      <c r="B150" s="25" t="s">
        <v>614</v>
      </c>
      <c r="C150" s="25" t="s">
        <v>156</v>
      </c>
      <c r="D150" s="25" t="s">
        <v>162</v>
      </c>
      <c r="E150" s="25" t="s">
        <v>100</v>
      </c>
      <c r="F150" s="26">
        <v>247140.37</v>
      </c>
      <c r="G150" s="3">
        <f t="shared" si="2"/>
        <v>247140</v>
      </c>
      <c r="L150" s="271" t="s">
        <v>2244</v>
      </c>
      <c r="M150" s="271" t="s">
        <v>612</v>
      </c>
      <c r="N150" s="272">
        <v>0</v>
      </c>
      <c r="O150" s="272">
        <v>0</v>
      </c>
      <c r="P150" s="272">
        <v>0</v>
      </c>
      <c r="Q150" s="272">
        <v>0</v>
      </c>
      <c r="R150" s="272">
        <v>0</v>
      </c>
    </row>
    <row r="151" spans="1:18">
      <c r="A151" s="25" t="s">
        <v>2246</v>
      </c>
      <c r="B151" s="25" t="s">
        <v>616</v>
      </c>
      <c r="C151" s="25" t="s">
        <v>156</v>
      </c>
      <c r="D151" s="25" t="s">
        <v>162</v>
      </c>
      <c r="E151" s="25" t="s">
        <v>100</v>
      </c>
      <c r="F151" s="26">
        <v>-467267.46</v>
      </c>
      <c r="G151" s="3">
        <f t="shared" si="2"/>
        <v>-467267</v>
      </c>
      <c r="L151" s="271" t="s">
        <v>2245</v>
      </c>
      <c r="M151" s="271" t="s">
        <v>614</v>
      </c>
      <c r="N151" s="272">
        <v>247140.37</v>
      </c>
      <c r="O151" s="272">
        <v>0</v>
      </c>
      <c r="P151" s="272">
        <v>0</v>
      </c>
      <c r="Q151" s="272">
        <v>247140.37</v>
      </c>
      <c r="R151" s="272">
        <v>0</v>
      </c>
    </row>
    <row r="152" spans="1:18">
      <c r="A152" s="25" t="s">
        <v>2247</v>
      </c>
      <c r="B152" s="25" t="s">
        <v>618</v>
      </c>
      <c r="C152" s="25" t="s">
        <v>156</v>
      </c>
      <c r="D152" s="25" t="s">
        <v>169</v>
      </c>
      <c r="E152" s="25" t="s">
        <v>2248</v>
      </c>
      <c r="F152" s="26">
        <v>-132795.79999999999</v>
      </c>
      <c r="G152" s="3">
        <f t="shared" si="2"/>
        <v>-132796</v>
      </c>
      <c r="L152" s="271" t="s">
        <v>2246</v>
      </c>
      <c r="M152" s="271" t="s">
        <v>616</v>
      </c>
      <c r="N152" s="272">
        <v>-467267.46</v>
      </c>
      <c r="O152" s="272">
        <v>0</v>
      </c>
      <c r="P152" s="272">
        <v>0</v>
      </c>
      <c r="Q152" s="272">
        <v>-467267.46</v>
      </c>
      <c r="R152" s="272">
        <v>0</v>
      </c>
    </row>
    <row r="153" spans="1:18">
      <c r="A153" s="25" t="s">
        <v>468</v>
      </c>
      <c r="B153" s="25" t="s">
        <v>469</v>
      </c>
      <c r="C153" s="25" t="s">
        <v>156</v>
      </c>
      <c r="D153" s="25" t="s">
        <v>157</v>
      </c>
      <c r="E153" s="25" t="s">
        <v>100</v>
      </c>
      <c r="F153" s="26">
        <v>0</v>
      </c>
      <c r="G153" s="3">
        <f t="shared" si="2"/>
        <v>0</v>
      </c>
      <c r="L153" s="271" t="s">
        <v>2247</v>
      </c>
      <c r="M153" s="271" t="s">
        <v>618</v>
      </c>
      <c r="N153" s="272">
        <v>-135896.76999999999</v>
      </c>
      <c r="O153" s="272">
        <v>0</v>
      </c>
      <c r="P153" s="272">
        <v>0</v>
      </c>
      <c r="Q153" s="272">
        <v>-135896.76999999999</v>
      </c>
      <c r="R153" s="272">
        <v>0</v>
      </c>
    </row>
    <row r="154" spans="1:18">
      <c r="A154" s="25" t="s">
        <v>470</v>
      </c>
      <c r="B154" s="25" t="s">
        <v>155</v>
      </c>
      <c r="C154" s="25" t="s">
        <v>156</v>
      </c>
      <c r="D154" s="25" t="s">
        <v>157</v>
      </c>
      <c r="E154" s="25" t="s">
        <v>100</v>
      </c>
      <c r="F154" s="26">
        <v>0</v>
      </c>
      <c r="G154" s="3">
        <f t="shared" si="2"/>
        <v>0</v>
      </c>
      <c r="L154" s="271" t="s">
        <v>468</v>
      </c>
      <c r="M154" s="271" t="s">
        <v>469</v>
      </c>
      <c r="N154" s="272">
        <v>0</v>
      </c>
      <c r="O154" s="272">
        <v>0</v>
      </c>
      <c r="P154" s="272">
        <v>0</v>
      </c>
      <c r="Q154" s="272">
        <v>0</v>
      </c>
      <c r="R154" s="272">
        <v>0</v>
      </c>
    </row>
    <row r="155" spans="1:18">
      <c r="A155" s="25" t="s">
        <v>471</v>
      </c>
      <c r="B155" s="25" t="s">
        <v>472</v>
      </c>
      <c r="C155" s="25" t="s">
        <v>156</v>
      </c>
      <c r="D155" s="25" t="s">
        <v>162</v>
      </c>
      <c r="E155" s="25" t="s">
        <v>100</v>
      </c>
      <c r="F155" s="26">
        <v>-2696467.21</v>
      </c>
      <c r="G155" s="3">
        <f t="shared" si="2"/>
        <v>-2696467</v>
      </c>
      <c r="L155" s="271" t="s">
        <v>470</v>
      </c>
      <c r="M155" s="271" t="s">
        <v>155</v>
      </c>
      <c r="N155" s="272">
        <v>0</v>
      </c>
      <c r="O155" s="272">
        <v>0</v>
      </c>
      <c r="P155" s="272">
        <v>0</v>
      </c>
      <c r="Q155" s="272">
        <v>0</v>
      </c>
      <c r="R155" s="272">
        <v>0</v>
      </c>
    </row>
    <row r="156" spans="1:18">
      <c r="A156" s="25" t="s">
        <v>473</v>
      </c>
      <c r="B156" s="25" t="s">
        <v>474</v>
      </c>
      <c r="C156" s="25" t="s">
        <v>156</v>
      </c>
      <c r="D156" s="25" t="s">
        <v>162</v>
      </c>
      <c r="E156" s="25" t="s">
        <v>100</v>
      </c>
      <c r="F156" s="26">
        <v>-1679955.42</v>
      </c>
      <c r="G156" s="3">
        <f t="shared" si="2"/>
        <v>-1679955</v>
      </c>
      <c r="L156" s="271" t="s">
        <v>471</v>
      </c>
      <c r="M156" s="271" t="s">
        <v>472</v>
      </c>
      <c r="N156" s="272">
        <v>-2696467.21</v>
      </c>
      <c r="O156" s="272">
        <v>-492416</v>
      </c>
      <c r="P156" s="272">
        <v>0</v>
      </c>
      <c r="Q156" s="272">
        <v>-1903904.21</v>
      </c>
      <c r="R156" s="272">
        <v>-300147</v>
      </c>
    </row>
    <row r="157" spans="1:18">
      <c r="A157" s="25" t="s">
        <v>478</v>
      </c>
      <c r="B157" s="25" t="s">
        <v>479</v>
      </c>
      <c r="C157" s="25" t="s">
        <v>156</v>
      </c>
      <c r="D157" s="25" t="s">
        <v>162</v>
      </c>
      <c r="E157" s="25" t="s">
        <v>100</v>
      </c>
      <c r="F157" s="26">
        <v>24902.78</v>
      </c>
      <c r="G157" s="3">
        <f t="shared" si="2"/>
        <v>24903</v>
      </c>
      <c r="L157" s="271" t="s">
        <v>473</v>
      </c>
      <c r="M157" s="271" t="s">
        <v>474</v>
      </c>
      <c r="N157" s="272">
        <v>-1679955.42</v>
      </c>
      <c r="O157" s="272">
        <v>-208790</v>
      </c>
      <c r="P157" s="272">
        <v>0</v>
      </c>
      <c r="Q157" s="272">
        <v>-1190293.42</v>
      </c>
      <c r="R157" s="272">
        <v>-280872</v>
      </c>
    </row>
    <row r="158" spans="1:18">
      <c r="A158" s="25" t="s">
        <v>480</v>
      </c>
      <c r="B158" s="25" t="s">
        <v>481</v>
      </c>
      <c r="C158" s="25" t="s">
        <v>156</v>
      </c>
      <c r="D158" s="25" t="s">
        <v>162</v>
      </c>
      <c r="E158" s="25" t="s">
        <v>100</v>
      </c>
      <c r="F158" s="26">
        <v>-357563.35</v>
      </c>
      <c r="G158" s="3">
        <f t="shared" si="2"/>
        <v>-357563</v>
      </c>
      <c r="L158" s="271" t="s">
        <v>478</v>
      </c>
      <c r="M158" s="271" t="s">
        <v>479</v>
      </c>
      <c r="N158" s="272">
        <v>24902.78</v>
      </c>
      <c r="O158" s="272">
        <v>24902.78</v>
      </c>
      <c r="P158" s="272">
        <v>0</v>
      </c>
      <c r="Q158" s="272">
        <v>0</v>
      </c>
      <c r="R158" s="272">
        <v>0</v>
      </c>
    </row>
    <row r="159" spans="1:18">
      <c r="A159" s="25" t="s">
        <v>482</v>
      </c>
      <c r="B159" s="25" t="s">
        <v>278</v>
      </c>
      <c r="C159" s="25" t="s">
        <v>156</v>
      </c>
      <c r="D159" s="25" t="s">
        <v>169</v>
      </c>
      <c r="E159" s="25" t="s">
        <v>483</v>
      </c>
      <c r="F159" s="26">
        <v>-4709083.2</v>
      </c>
      <c r="G159" s="3">
        <f t="shared" si="2"/>
        <v>-4709083</v>
      </c>
      <c r="L159" s="271" t="s">
        <v>480</v>
      </c>
      <c r="M159" s="271" t="s">
        <v>481</v>
      </c>
      <c r="N159" s="272">
        <v>-357563.35</v>
      </c>
      <c r="O159" s="272">
        <v>-62742</v>
      </c>
      <c r="P159" s="272">
        <v>0</v>
      </c>
      <c r="Q159" s="272">
        <v>-257993.35</v>
      </c>
      <c r="R159" s="272">
        <v>-36828</v>
      </c>
    </row>
    <row r="160" spans="1:18">
      <c r="A160" s="25" t="s">
        <v>484</v>
      </c>
      <c r="B160" s="25" t="s">
        <v>485</v>
      </c>
      <c r="C160" s="25" t="s">
        <v>156</v>
      </c>
      <c r="D160" s="25" t="s">
        <v>157</v>
      </c>
      <c r="E160" s="25" t="s">
        <v>100</v>
      </c>
      <c r="F160" s="26">
        <v>0</v>
      </c>
      <c r="G160" s="3">
        <f t="shared" si="2"/>
        <v>0</v>
      </c>
      <c r="L160" s="271" t="s">
        <v>482</v>
      </c>
      <c r="M160" s="271" t="s">
        <v>278</v>
      </c>
      <c r="N160" s="272">
        <v>-4709083.2</v>
      </c>
      <c r="O160" s="30">
        <v>-739045.22</v>
      </c>
      <c r="P160" s="30">
        <v>0</v>
      </c>
      <c r="Q160" s="30">
        <v>-3352190.98</v>
      </c>
      <c r="R160" s="30">
        <v>-617847</v>
      </c>
    </row>
    <row r="161" spans="1:18">
      <c r="A161" s="25" t="s">
        <v>486</v>
      </c>
      <c r="B161" s="25" t="s">
        <v>487</v>
      </c>
      <c r="C161" s="25" t="s">
        <v>156</v>
      </c>
      <c r="D161" s="25" t="s">
        <v>162</v>
      </c>
      <c r="E161" s="25" t="s">
        <v>100</v>
      </c>
      <c r="F161" s="26">
        <v>415171.07</v>
      </c>
      <c r="G161" s="3">
        <f t="shared" si="2"/>
        <v>415171</v>
      </c>
      <c r="L161" s="271" t="s">
        <v>484</v>
      </c>
      <c r="M161" s="271" t="s">
        <v>485</v>
      </c>
      <c r="N161" s="272">
        <v>0</v>
      </c>
      <c r="O161" s="272">
        <v>0</v>
      </c>
      <c r="P161" s="272">
        <v>0</v>
      </c>
      <c r="Q161" s="272">
        <v>0</v>
      </c>
      <c r="R161" s="272">
        <v>0</v>
      </c>
    </row>
    <row r="162" spans="1:18">
      <c r="A162" s="25" t="s">
        <v>488</v>
      </c>
      <c r="B162" s="25" t="s">
        <v>489</v>
      </c>
      <c r="C162" s="25" t="s">
        <v>156</v>
      </c>
      <c r="D162" s="25" t="s">
        <v>162</v>
      </c>
      <c r="E162" s="25" t="s">
        <v>100</v>
      </c>
      <c r="F162" s="26">
        <v>249607.67</v>
      </c>
      <c r="G162" s="3">
        <f t="shared" si="2"/>
        <v>249608</v>
      </c>
      <c r="L162" s="271" t="s">
        <v>486</v>
      </c>
      <c r="M162" s="271" t="s">
        <v>487</v>
      </c>
      <c r="N162" s="272">
        <v>415171.07</v>
      </c>
      <c r="O162" s="30">
        <v>174487.81</v>
      </c>
      <c r="P162" s="272">
        <v>0</v>
      </c>
      <c r="Q162" s="30">
        <v>240683.26</v>
      </c>
      <c r="R162" s="30">
        <v>0</v>
      </c>
    </row>
    <row r="163" spans="1:18">
      <c r="A163" s="25" t="s">
        <v>490</v>
      </c>
      <c r="B163" s="25" t="s">
        <v>2218</v>
      </c>
      <c r="C163" s="25" t="s">
        <v>156</v>
      </c>
      <c r="D163" s="25" t="s">
        <v>162</v>
      </c>
      <c r="E163" s="25" t="s">
        <v>100</v>
      </c>
      <c r="F163" s="26">
        <v>7050.09</v>
      </c>
      <c r="G163" s="3">
        <f t="shared" si="2"/>
        <v>7050</v>
      </c>
      <c r="L163" s="271" t="s">
        <v>488</v>
      </c>
      <c r="M163" s="271" t="s">
        <v>489</v>
      </c>
      <c r="N163" s="272">
        <v>249607.67</v>
      </c>
      <c r="O163" s="30">
        <v>206024.1</v>
      </c>
      <c r="P163" s="272">
        <v>0</v>
      </c>
      <c r="Q163" s="30">
        <v>18729.419999999998</v>
      </c>
      <c r="R163" s="30">
        <v>24854.15</v>
      </c>
    </row>
    <row r="164" spans="1:18">
      <c r="A164" s="25" t="s">
        <v>492</v>
      </c>
      <c r="B164" s="25" t="s">
        <v>493</v>
      </c>
      <c r="C164" s="25" t="s">
        <v>156</v>
      </c>
      <c r="D164" s="25" t="s">
        <v>162</v>
      </c>
      <c r="E164" s="25" t="s">
        <v>100</v>
      </c>
      <c r="F164" s="26">
        <v>22645.98</v>
      </c>
      <c r="G164" s="3">
        <f t="shared" si="2"/>
        <v>22646</v>
      </c>
      <c r="L164" s="271" t="s">
        <v>490</v>
      </c>
      <c r="M164" s="271" t="s">
        <v>2218</v>
      </c>
      <c r="N164" s="272">
        <v>7050.09</v>
      </c>
      <c r="O164" s="30">
        <v>0</v>
      </c>
      <c r="P164" s="272">
        <v>0</v>
      </c>
      <c r="Q164" s="30">
        <v>7050.09</v>
      </c>
      <c r="R164" s="30">
        <v>0</v>
      </c>
    </row>
    <row r="165" spans="1:18">
      <c r="A165" s="25" t="s">
        <v>494</v>
      </c>
      <c r="B165" s="25" t="s">
        <v>495</v>
      </c>
      <c r="C165" s="25" t="s">
        <v>156</v>
      </c>
      <c r="D165" s="25" t="s">
        <v>162</v>
      </c>
      <c r="E165" s="25" t="s">
        <v>100</v>
      </c>
      <c r="F165" s="26">
        <v>122513.67</v>
      </c>
      <c r="G165" s="3">
        <f t="shared" si="2"/>
        <v>122514</v>
      </c>
      <c r="L165" s="271" t="s">
        <v>492</v>
      </c>
      <c r="M165" s="271" t="s">
        <v>493</v>
      </c>
      <c r="N165" s="272">
        <v>22645.98</v>
      </c>
      <c r="O165" s="30">
        <v>22645.98</v>
      </c>
      <c r="P165" s="272">
        <v>0</v>
      </c>
      <c r="Q165" s="30">
        <v>0</v>
      </c>
      <c r="R165" s="30">
        <v>0</v>
      </c>
    </row>
    <row r="166" spans="1:18">
      <c r="A166" s="25" t="s">
        <v>496</v>
      </c>
      <c r="B166" s="25" t="s">
        <v>497</v>
      </c>
      <c r="C166" s="25" t="s">
        <v>156</v>
      </c>
      <c r="D166" s="25" t="s">
        <v>162</v>
      </c>
      <c r="E166" s="25" t="s">
        <v>100</v>
      </c>
      <c r="F166" s="26">
        <v>1441098.5</v>
      </c>
      <c r="G166" s="3">
        <f t="shared" si="2"/>
        <v>1441099</v>
      </c>
      <c r="L166" s="271" t="s">
        <v>494</v>
      </c>
      <c r="M166" s="271" t="s">
        <v>495</v>
      </c>
      <c r="N166" s="272">
        <v>122513.67</v>
      </c>
      <c r="O166" s="30">
        <v>30436.400000000001</v>
      </c>
      <c r="P166" s="272">
        <v>0</v>
      </c>
      <c r="Q166" s="30">
        <v>87877</v>
      </c>
      <c r="R166" s="30">
        <v>4200.2700000000004</v>
      </c>
    </row>
    <row r="167" spans="1:18">
      <c r="A167" s="25" t="s">
        <v>498</v>
      </c>
      <c r="B167" s="25" t="s">
        <v>499</v>
      </c>
      <c r="C167" s="25" t="s">
        <v>156</v>
      </c>
      <c r="D167" s="25" t="s">
        <v>162</v>
      </c>
      <c r="E167" s="25" t="s">
        <v>100</v>
      </c>
      <c r="F167" s="26">
        <v>-10442.790000000001</v>
      </c>
      <c r="G167" s="3">
        <f t="shared" si="2"/>
        <v>-10443</v>
      </c>
      <c r="L167" s="271" t="s">
        <v>496</v>
      </c>
      <c r="M167" s="271" t="s">
        <v>497</v>
      </c>
      <c r="N167" s="272">
        <v>1441098.5</v>
      </c>
      <c r="O167" s="30">
        <v>474557.1</v>
      </c>
      <c r="P167" s="272">
        <v>0</v>
      </c>
      <c r="Q167" s="30">
        <v>832627.77</v>
      </c>
      <c r="R167" s="30">
        <v>133913.63</v>
      </c>
    </row>
    <row r="168" spans="1:18">
      <c r="A168" s="25" t="s">
        <v>500</v>
      </c>
      <c r="B168" s="25" t="s">
        <v>501</v>
      </c>
      <c r="C168" s="25" t="s">
        <v>156</v>
      </c>
      <c r="D168" s="25" t="s">
        <v>162</v>
      </c>
      <c r="E168" s="25" t="s">
        <v>100</v>
      </c>
      <c r="F168" s="26">
        <v>212565.41</v>
      </c>
      <c r="G168" s="3">
        <f t="shared" si="2"/>
        <v>212565</v>
      </c>
      <c r="H168" s="28">
        <v>17346</v>
      </c>
      <c r="L168" s="271" t="s">
        <v>498</v>
      </c>
      <c r="M168" s="271" t="s">
        <v>499</v>
      </c>
      <c r="N168" s="272">
        <v>-10442.790000000001</v>
      </c>
      <c r="O168" s="272">
        <v>0</v>
      </c>
      <c r="P168" s="272">
        <v>0</v>
      </c>
      <c r="Q168" s="272">
        <v>-9490.7999999999993</v>
      </c>
      <c r="R168" s="272">
        <v>-951.99</v>
      </c>
    </row>
    <row r="169" spans="1:18">
      <c r="A169" s="25" t="s">
        <v>502</v>
      </c>
      <c r="B169" s="25" t="s">
        <v>503</v>
      </c>
      <c r="C169" s="25" t="s">
        <v>156</v>
      </c>
      <c r="D169" s="25" t="s">
        <v>169</v>
      </c>
      <c r="E169" s="25" t="s">
        <v>504</v>
      </c>
      <c r="F169" s="26">
        <v>2460209.6</v>
      </c>
      <c r="G169" s="3">
        <f t="shared" si="2"/>
        <v>2460210</v>
      </c>
      <c r="L169" s="271" t="s">
        <v>500</v>
      </c>
      <c r="M169" s="271" t="s">
        <v>501</v>
      </c>
      <c r="N169" s="272">
        <v>212565.41</v>
      </c>
      <c r="O169" s="272">
        <v>0</v>
      </c>
      <c r="P169" s="272">
        <v>0</v>
      </c>
      <c r="Q169" s="272">
        <f>212565.41+17346</f>
        <v>229911.41</v>
      </c>
      <c r="R169" s="272">
        <v>0</v>
      </c>
    </row>
    <row r="170" spans="1:18">
      <c r="A170" s="25" t="s">
        <v>505</v>
      </c>
      <c r="B170" s="25" t="s">
        <v>284</v>
      </c>
      <c r="C170" s="25" t="s">
        <v>156</v>
      </c>
      <c r="D170" s="25" t="s">
        <v>157</v>
      </c>
      <c r="E170" s="25" t="s">
        <v>100</v>
      </c>
      <c r="F170" s="26">
        <v>0</v>
      </c>
      <c r="G170" s="3">
        <f t="shared" si="2"/>
        <v>0</v>
      </c>
      <c r="L170" s="271" t="s">
        <v>502</v>
      </c>
      <c r="M170" s="271" t="s">
        <v>503</v>
      </c>
      <c r="N170" s="272">
        <v>2460209.6</v>
      </c>
      <c r="O170" s="272">
        <v>908151.39</v>
      </c>
      <c r="P170" s="272">
        <v>0</v>
      </c>
      <c r="Q170" s="272">
        <v>1390042.15</v>
      </c>
      <c r="R170" s="272">
        <v>162016.06</v>
      </c>
    </row>
    <row r="171" spans="1:18">
      <c r="A171" s="25" t="s">
        <v>506</v>
      </c>
      <c r="B171" s="25" t="s">
        <v>507</v>
      </c>
      <c r="C171" s="25" t="s">
        <v>156</v>
      </c>
      <c r="D171" s="25" t="s">
        <v>162</v>
      </c>
      <c r="E171" s="25" t="s">
        <v>100</v>
      </c>
      <c r="F171" s="26">
        <v>2361950.08</v>
      </c>
      <c r="G171" s="3">
        <f t="shared" si="2"/>
        <v>2361950</v>
      </c>
      <c r="H171" s="28">
        <v>-45000</v>
      </c>
      <c r="I171" t="s">
        <v>2251</v>
      </c>
      <c r="L171" s="271" t="s">
        <v>505</v>
      </c>
      <c r="M171" s="271" t="s">
        <v>284</v>
      </c>
      <c r="N171" s="272">
        <v>0</v>
      </c>
      <c r="O171" s="272">
        <v>0</v>
      </c>
      <c r="P171" s="272">
        <v>0</v>
      </c>
      <c r="Q171" s="272">
        <v>0</v>
      </c>
      <c r="R171" s="272">
        <v>0</v>
      </c>
    </row>
    <row r="172" spans="1:18">
      <c r="A172" s="25" t="s">
        <v>508</v>
      </c>
      <c r="B172" s="25" t="s">
        <v>317</v>
      </c>
      <c r="C172" s="25" t="s">
        <v>156</v>
      </c>
      <c r="D172" s="25" t="s">
        <v>162</v>
      </c>
      <c r="E172" s="25" t="s">
        <v>100</v>
      </c>
      <c r="F172" s="26">
        <v>72895.399999999994</v>
      </c>
      <c r="G172" s="3">
        <f t="shared" si="2"/>
        <v>72895</v>
      </c>
      <c r="L172" s="271" t="s">
        <v>506</v>
      </c>
      <c r="M172" s="271" t="s">
        <v>507</v>
      </c>
      <c r="N172" s="272">
        <v>2316950.08</v>
      </c>
      <c r="O172" s="30">
        <v>312956.96999999997</v>
      </c>
      <c r="P172" s="272">
        <v>0</v>
      </c>
      <c r="Q172" s="30">
        <v>1750053.33</v>
      </c>
      <c r="R172" s="30">
        <v>253939.78</v>
      </c>
    </row>
    <row r="173" spans="1:18">
      <c r="A173" s="25" t="s">
        <v>509</v>
      </c>
      <c r="B173" s="25" t="s">
        <v>294</v>
      </c>
      <c r="C173" s="25" t="s">
        <v>156</v>
      </c>
      <c r="D173" s="25" t="s">
        <v>162</v>
      </c>
      <c r="E173" s="25" t="s">
        <v>100</v>
      </c>
      <c r="F173" s="26">
        <v>-311455.63</v>
      </c>
      <c r="G173" s="3">
        <f t="shared" si="2"/>
        <v>-311456</v>
      </c>
      <c r="L173" s="271" t="s">
        <v>508</v>
      </c>
      <c r="M173" s="271" t="s">
        <v>317</v>
      </c>
      <c r="N173" s="272">
        <v>72895.399999999994</v>
      </c>
      <c r="O173" s="30">
        <v>5046.3999999999996</v>
      </c>
      <c r="P173" s="272">
        <v>0</v>
      </c>
      <c r="Q173" s="30">
        <v>67849</v>
      </c>
      <c r="R173" s="30">
        <v>0</v>
      </c>
    </row>
    <row r="174" spans="1:18">
      <c r="A174" s="25" t="s">
        <v>510</v>
      </c>
      <c r="B174" s="25" t="s">
        <v>511</v>
      </c>
      <c r="C174" s="25" t="s">
        <v>156</v>
      </c>
      <c r="D174" s="25" t="s">
        <v>162</v>
      </c>
      <c r="E174" s="25" t="s">
        <v>100</v>
      </c>
      <c r="F174" s="26">
        <v>79817.34</v>
      </c>
      <c r="G174" s="3">
        <f t="shared" si="2"/>
        <v>79817</v>
      </c>
      <c r="L174" s="271" t="s">
        <v>509</v>
      </c>
      <c r="M174" s="271" t="s">
        <v>294</v>
      </c>
      <c r="N174" s="272">
        <v>-311455.63</v>
      </c>
      <c r="O174" s="30">
        <v>0</v>
      </c>
      <c r="P174" s="272">
        <v>0</v>
      </c>
      <c r="Q174" s="30">
        <v>-311455.63</v>
      </c>
      <c r="R174" s="30">
        <v>0</v>
      </c>
    </row>
    <row r="175" spans="1:18">
      <c r="A175" s="25" t="s">
        <v>512</v>
      </c>
      <c r="B175" s="25" t="s">
        <v>513</v>
      </c>
      <c r="C175" s="25" t="s">
        <v>156</v>
      </c>
      <c r="D175" s="25" t="s">
        <v>162</v>
      </c>
      <c r="E175" s="25" t="s">
        <v>100</v>
      </c>
      <c r="F175" s="26">
        <v>203986.47</v>
      </c>
      <c r="G175" s="3">
        <f t="shared" si="2"/>
        <v>203986</v>
      </c>
      <c r="L175" s="271" t="s">
        <v>510</v>
      </c>
      <c r="M175" s="271" t="s">
        <v>511</v>
      </c>
      <c r="N175" s="272">
        <v>79817.34</v>
      </c>
      <c r="O175" s="30">
        <v>10215</v>
      </c>
      <c r="P175" s="272">
        <v>0</v>
      </c>
      <c r="Q175" s="30">
        <v>69602.34</v>
      </c>
      <c r="R175" s="30">
        <v>0</v>
      </c>
    </row>
    <row r="176" spans="1:18">
      <c r="A176" s="25" t="s">
        <v>514</v>
      </c>
      <c r="B176" s="25" t="s">
        <v>515</v>
      </c>
      <c r="C176" s="25" t="s">
        <v>156</v>
      </c>
      <c r="D176" s="25" t="s">
        <v>162</v>
      </c>
      <c r="E176" s="25" t="s">
        <v>100</v>
      </c>
      <c r="F176" s="26">
        <v>58189.13</v>
      </c>
      <c r="G176" s="3">
        <f t="shared" si="2"/>
        <v>58189</v>
      </c>
      <c r="L176" s="271" t="s">
        <v>512</v>
      </c>
      <c r="M176" s="271" t="s">
        <v>513</v>
      </c>
      <c r="N176" s="272">
        <v>203986.47</v>
      </c>
      <c r="O176" s="30">
        <v>30645.03</v>
      </c>
      <c r="P176" s="272">
        <v>0</v>
      </c>
      <c r="Q176" s="30">
        <v>173341.44</v>
      </c>
      <c r="R176" s="30">
        <v>0</v>
      </c>
    </row>
    <row r="177" spans="1:18">
      <c r="A177" s="25" t="s">
        <v>2198</v>
      </c>
      <c r="B177" s="25" t="s">
        <v>300</v>
      </c>
      <c r="C177" s="25" t="s">
        <v>156</v>
      </c>
      <c r="D177" s="25" t="s">
        <v>162</v>
      </c>
      <c r="E177" s="25" t="s">
        <v>100</v>
      </c>
      <c r="F177" s="26">
        <v>73512.149999999994</v>
      </c>
      <c r="G177" s="3">
        <f t="shared" si="2"/>
        <v>73512</v>
      </c>
      <c r="L177" s="271" t="s">
        <v>514</v>
      </c>
      <c r="M177" s="271" t="s">
        <v>515</v>
      </c>
      <c r="N177" s="272">
        <v>58189.13</v>
      </c>
      <c r="O177" s="30">
        <v>-5662.37</v>
      </c>
      <c r="P177" s="272">
        <v>0</v>
      </c>
      <c r="Q177" s="30">
        <v>63851.5</v>
      </c>
      <c r="R177" s="30">
        <v>0</v>
      </c>
    </row>
    <row r="178" spans="1:18">
      <c r="A178" s="25" t="s">
        <v>516</v>
      </c>
      <c r="B178" s="25" t="s">
        <v>306</v>
      </c>
      <c r="C178" s="25" t="s">
        <v>156</v>
      </c>
      <c r="D178" s="25" t="s">
        <v>162</v>
      </c>
      <c r="E178" s="25" t="s">
        <v>100</v>
      </c>
      <c r="F178" s="26">
        <v>57416.52</v>
      </c>
      <c r="G178" s="3">
        <f t="shared" si="2"/>
        <v>57417</v>
      </c>
      <c r="L178" s="271" t="s">
        <v>2198</v>
      </c>
      <c r="M178" s="271" t="s">
        <v>300</v>
      </c>
      <c r="N178" s="272">
        <v>73512.149999999994</v>
      </c>
      <c r="O178" s="30">
        <v>0</v>
      </c>
      <c r="P178" s="272">
        <v>0</v>
      </c>
      <c r="Q178" s="30">
        <v>63284.65</v>
      </c>
      <c r="R178" s="30">
        <v>10227.5</v>
      </c>
    </row>
    <row r="179" spans="1:18">
      <c r="A179" s="25" t="s">
        <v>518</v>
      </c>
      <c r="B179" s="25" t="s">
        <v>519</v>
      </c>
      <c r="C179" s="25" t="s">
        <v>156</v>
      </c>
      <c r="D179" s="25" t="s">
        <v>162</v>
      </c>
      <c r="E179" s="25" t="s">
        <v>100</v>
      </c>
      <c r="F179" s="26">
        <v>120047.54</v>
      </c>
      <c r="G179" s="3">
        <f t="shared" si="2"/>
        <v>120048</v>
      </c>
      <c r="L179" s="271" t="s">
        <v>516</v>
      </c>
      <c r="M179" s="271" t="s">
        <v>306</v>
      </c>
      <c r="N179" s="272">
        <v>57416.52</v>
      </c>
      <c r="O179" s="30">
        <v>22718.93</v>
      </c>
      <c r="P179" s="272">
        <v>0</v>
      </c>
      <c r="Q179" s="30">
        <v>30494.67</v>
      </c>
      <c r="R179" s="30">
        <v>4202.92</v>
      </c>
    </row>
    <row r="180" spans="1:18">
      <c r="A180" s="25" t="s">
        <v>520</v>
      </c>
      <c r="B180" s="25" t="s">
        <v>521</v>
      </c>
      <c r="C180" s="25" t="s">
        <v>156</v>
      </c>
      <c r="D180" s="25" t="s">
        <v>162</v>
      </c>
      <c r="E180" s="25" t="s">
        <v>100</v>
      </c>
      <c r="F180" s="26">
        <v>415.15</v>
      </c>
      <c r="G180" s="3">
        <f t="shared" si="2"/>
        <v>415</v>
      </c>
      <c r="L180" s="271" t="s">
        <v>518</v>
      </c>
      <c r="M180" s="271" t="s">
        <v>519</v>
      </c>
      <c r="N180" s="272">
        <v>120047.54</v>
      </c>
      <c r="O180" s="30">
        <v>7724.5</v>
      </c>
      <c r="P180" s="272">
        <v>0</v>
      </c>
      <c r="Q180" s="30">
        <v>111263.03</v>
      </c>
      <c r="R180" s="30">
        <v>1060.01</v>
      </c>
    </row>
    <row r="181" spans="1:18">
      <c r="A181" s="25" t="s">
        <v>522</v>
      </c>
      <c r="B181" s="25" t="s">
        <v>216</v>
      </c>
      <c r="C181" s="25" t="s">
        <v>156</v>
      </c>
      <c r="D181" s="25" t="s">
        <v>162</v>
      </c>
      <c r="E181" s="25" t="s">
        <v>100</v>
      </c>
      <c r="F181" s="26">
        <v>11599.3</v>
      </c>
      <c r="G181" s="3">
        <f t="shared" si="2"/>
        <v>11599</v>
      </c>
      <c r="L181" s="271" t="s">
        <v>520</v>
      </c>
      <c r="M181" s="271" t="s">
        <v>521</v>
      </c>
      <c r="N181" s="272">
        <v>415.15</v>
      </c>
      <c r="O181" s="30">
        <v>0</v>
      </c>
      <c r="P181" s="272">
        <v>415.15</v>
      </c>
      <c r="Q181" s="30">
        <v>0</v>
      </c>
      <c r="R181" s="30">
        <v>0</v>
      </c>
    </row>
    <row r="182" spans="1:18">
      <c r="A182" s="25">
        <v>441320</v>
      </c>
      <c r="B182" s="25" t="s">
        <v>526</v>
      </c>
      <c r="C182" s="25"/>
      <c r="D182" s="25"/>
      <c r="E182" s="25"/>
      <c r="F182" s="26"/>
      <c r="H182" s="28">
        <v>-179228</v>
      </c>
      <c r="L182" s="271"/>
      <c r="M182" s="271"/>
      <c r="N182" s="272"/>
      <c r="O182" s="30"/>
      <c r="P182" s="272"/>
      <c r="Q182" s="30"/>
      <c r="R182" s="30"/>
    </row>
    <row r="183" spans="1:18">
      <c r="A183" s="25" t="s">
        <v>527</v>
      </c>
      <c r="B183" s="25" t="s">
        <v>341</v>
      </c>
      <c r="C183" s="25" t="s">
        <v>156</v>
      </c>
      <c r="D183" s="25" t="s">
        <v>169</v>
      </c>
      <c r="E183" s="25" t="s">
        <v>528</v>
      </c>
      <c r="F183" s="26">
        <v>2728373.45</v>
      </c>
      <c r="G183" s="3">
        <f t="shared" si="2"/>
        <v>2728373</v>
      </c>
      <c r="L183" s="271" t="s">
        <v>522</v>
      </c>
      <c r="M183" s="271" t="s">
        <v>216</v>
      </c>
      <c r="N183" s="272">
        <v>11599.3</v>
      </c>
      <c r="O183" s="30">
        <v>0</v>
      </c>
      <c r="P183" s="272">
        <v>0</v>
      </c>
      <c r="Q183" s="30">
        <v>11599.3</v>
      </c>
      <c r="R183" s="30">
        <v>0</v>
      </c>
    </row>
    <row r="184" spans="1:18">
      <c r="A184" s="25" t="s">
        <v>529</v>
      </c>
      <c r="B184" s="25" t="s">
        <v>530</v>
      </c>
      <c r="C184" s="25" t="s">
        <v>156</v>
      </c>
      <c r="D184" s="25" t="s">
        <v>157</v>
      </c>
      <c r="E184" s="25" t="s">
        <v>100</v>
      </c>
      <c r="F184" s="26">
        <v>0</v>
      </c>
      <c r="G184" s="3">
        <f t="shared" si="2"/>
        <v>0</v>
      </c>
      <c r="L184" s="271" t="s">
        <v>527</v>
      </c>
      <c r="M184" s="271" t="s">
        <v>341</v>
      </c>
      <c r="N184" s="272">
        <v>2683373.4500000002</v>
      </c>
      <c r="O184" s="30">
        <v>383644.46</v>
      </c>
      <c r="P184" s="272">
        <v>415.15</v>
      </c>
      <c r="Q184" s="30">
        <v>2029883.63</v>
      </c>
      <c r="R184" s="30">
        <v>269430.21000000002</v>
      </c>
    </row>
    <row r="185" spans="1:18">
      <c r="A185" s="25" t="s">
        <v>531</v>
      </c>
      <c r="B185" s="25" t="s">
        <v>2317</v>
      </c>
      <c r="C185" s="25" t="s">
        <v>156</v>
      </c>
      <c r="D185" s="25" t="s">
        <v>162</v>
      </c>
      <c r="E185" s="25" t="s">
        <v>100</v>
      </c>
      <c r="F185" s="26">
        <v>96268.19</v>
      </c>
      <c r="G185" s="3">
        <f t="shared" si="2"/>
        <v>96268</v>
      </c>
      <c r="L185" s="271" t="s">
        <v>529</v>
      </c>
      <c r="M185" s="271" t="s">
        <v>530</v>
      </c>
      <c r="N185" s="272">
        <v>0</v>
      </c>
      <c r="O185" s="272">
        <v>0</v>
      </c>
      <c r="P185" s="272">
        <v>0</v>
      </c>
      <c r="Q185" s="272">
        <v>0</v>
      </c>
      <c r="R185" s="272">
        <v>0</v>
      </c>
    </row>
    <row r="186" spans="1:18">
      <c r="A186" s="25" t="s">
        <v>535</v>
      </c>
      <c r="B186" s="25" t="s">
        <v>536</v>
      </c>
      <c r="C186" s="25" t="s">
        <v>156</v>
      </c>
      <c r="D186" s="25" t="s">
        <v>162</v>
      </c>
      <c r="E186" s="25" t="s">
        <v>100</v>
      </c>
      <c r="F186" s="26">
        <v>20987.040000000001</v>
      </c>
      <c r="G186" s="3">
        <f t="shared" si="2"/>
        <v>20987</v>
      </c>
      <c r="H186" s="28">
        <v>6138</v>
      </c>
      <c r="I186" t="s">
        <v>2318</v>
      </c>
      <c r="L186" s="271" t="s">
        <v>531</v>
      </c>
      <c r="M186" s="271" t="s">
        <v>2317</v>
      </c>
      <c r="N186" s="272">
        <v>96268.19</v>
      </c>
      <c r="O186" s="30">
        <v>11319.56</v>
      </c>
      <c r="P186" s="272">
        <v>0</v>
      </c>
      <c r="Q186" s="30">
        <v>73344.070000000007</v>
      </c>
      <c r="R186" s="30">
        <v>11604.56</v>
      </c>
    </row>
    <row r="187" spans="1:18">
      <c r="A187" s="25" t="s">
        <v>537</v>
      </c>
      <c r="B187" s="25" t="s">
        <v>538</v>
      </c>
      <c r="C187" s="25" t="s">
        <v>156</v>
      </c>
      <c r="D187" s="25" t="s">
        <v>162</v>
      </c>
      <c r="E187" s="25" t="s">
        <v>100</v>
      </c>
      <c r="F187" s="26">
        <v>98155.21</v>
      </c>
      <c r="G187" s="3">
        <f t="shared" si="2"/>
        <v>98155</v>
      </c>
      <c r="H187" s="28">
        <v>20489</v>
      </c>
      <c r="I187" t="s">
        <v>2251</v>
      </c>
      <c r="L187" s="271" t="s">
        <v>535</v>
      </c>
      <c r="M187" s="271" t="s">
        <v>536</v>
      </c>
      <c r="N187" s="272">
        <v>20987.040000000001</v>
      </c>
      <c r="O187" s="30">
        <v>0</v>
      </c>
      <c r="P187" s="272">
        <v>0</v>
      </c>
      <c r="Q187" s="30">
        <v>20987.040000000001</v>
      </c>
      <c r="R187" s="30">
        <v>0</v>
      </c>
    </row>
    <row r="188" spans="1:18">
      <c r="A188" s="25" t="s">
        <v>539</v>
      </c>
      <c r="B188" s="25" t="s">
        <v>540</v>
      </c>
      <c r="C188" s="25" t="s">
        <v>156</v>
      </c>
      <c r="D188" s="25" t="s">
        <v>162</v>
      </c>
      <c r="E188" s="25" t="s">
        <v>100</v>
      </c>
      <c r="F188" s="26">
        <v>275092.37</v>
      </c>
      <c r="G188" s="3">
        <f t="shared" si="2"/>
        <v>275092</v>
      </c>
      <c r="H188" s="28">
        <v>38086</v>
      </c>
      <c r="I188" t="s">
        <v>2250</v>
      </c>
      <c r="L188" s="271" t="s">
        <v>537</v>
      </c>
      <c r="M188" s="271" t="s">
        <v>538</v>
      </c>
      <c r="N188" s="272">
        <v>98155.21</v>
      </c>
      <c r="O188" s="30">
        <v>2805.59</v>
      </c>
      <c r="P188" s="272">
        <v>0</v>
      </c>
      <c r="Q188" s="30">
        <v>81397.8</v>
      </c>
      <c r="R188" s="30">
        <v>13951.82</v>
      </c>
    </row>
    <row r="189" spans="1:18">
      <c r="A189" s="25" t="s">
        <v>541</v>
      </c>
      <c r="B189" s="25" t="s">
        <v>542</v>
      </c>
      <c r="C189" s="25" t="s">
        <v>156</v>
      </c>
      <c r="D189" s="25" t="s">
        <v>162</v>
      </c>
      <c r="E189" s="25" t="s">
        <v>100</v>
      </c>
      <c r="F189" s="26">
        <v>37271.480000000003</v>
      </c>
      <c r="G189" s="3">
        <f t="shared" si="2"/>
        <v>37271</v>
      </c>
      <c r="L189" s="271" t="s">
        <v>539</v>
      </c>
      <c r="M189" s="271" t="s">
        <v>540</v>
      </c>
      <c r="N189" s="272">
        <v>275092.37</v>
      </c>
      <c r="O189" s="30">
        <f>94647.28+38086</f>
        <v>132733.28</v>
      </c>
      <c r="P189" s="272">
        <v>0</v>
      </c>
      <c r="Q189" s="30">
        <v>147794.09</v>
      </c>
      <c r="R189" s="30">
        <v>32651</v>
      </c>
    </row>
    <row r="190" spans="1:18">
      <c r="A190" s="25" t="s">
        <v>543</v>
      </c>
      <c r="B190" s="25" t="s">
        <v>220</v>
      </c>
      <c r="C190" s="25" t="s">
        <v>156</v>
      </c>
      <c r="D190" s="25" t="s">
        <v>162</v>
      </c>
      <c r="E190" s="25" t="s">
        <v>100</v>
      </c>
      <c r="F190" s="26">
        <v>29570.36</v>
      </c>
      <c r="G190" s="3">
        <f t="shared" si="2"/>
        <v>29570</v>
      </c>
      <c r="L190" s="271" t="s">
        <v>541</v>
      </c>
      <c r="M190" s="271" t="s">
        <v>542</v>
      </c>
      <c r="N190" s="272">
        <v>37271.480000000003</v>
      </c>
      <c r="O190" s="30">
        <v>29337.48</v>
      </c>
      <c r="P190" s="272">
        <v>0</v>
      </c>
      <c r="Q190" s="30">
        <v>6109</v>
      </c>
      <c r="R190" s="30">
        <v>1825</v>
      </c>
    </row>
    <row r="191" spans="1:18">
      <c r="A191" s="25" t="s">
        <v>547</v>
      </c>
      <c r="B191" s="25" t="s">
        <v>548</v>
      </c>
      <c r="C191" s="25" t="s">
        <v>156</v>
      </c>
      <c r="D191" s="25" t="s">
        <v>169</v>
      </c>
      <c r="E191" s="25" t="s">
        <v>549</v>
      </c>
      <c r="F191" s="26">
        <v>557344.65</v>
      </c>
      <c r="G191" s="3">
        <f t="shared" si="2"/>
        <v>557345</v>
      </c>
      <c r="L191" s="271" t="s">
        <v>543</v>
      </c>
      <c r="M191" s="271" t="s">
        <v>220</v>
      </c>
      <c r="N191" s="272">
        <v>29570.36</v>
      </c>
      <c r="O191" s="30">
        <v>8967.7900000000009</v>
      </c>
      <c r="P191" s="272">
        <v>0</v>
      </c>
      <c r="Q191" s="272">
        <v>20196.89</v>
      </c>
      <c r="R191" s="30">
        <v>405.68</v>
      </c>
    </row>
    <row r="192" spans="1:18">
      <c r="A192" s="25" t="s">
        <v>550</v>
      </c>
      <c r="B192" s="25" t="s">
        <v>551</v>
      </c>
      <c r="C192" s="25" t="s">
        <v>156</v>
      </c>
      <c r="D192" s="25" t="s">
        <v>157</v>
      </c>
      <c r="E192" s="25" t="s">
        <v>100</v>
      </c>
      <c r="F192" s="26">
        <v>0</v>
      </c>
      <c r="G192" s="3">
        <f t="shared" si="2"/>
        <v>0</v>
      </c>
      <c r="L192" s="271" t="s">
        <v>547</v>
      </c>
      <c r="M192" s="271" t="s">
        <v>548</v>
      </c>
      <c r="N192" s="272">
        <v>557344.65</v>
      </c>
      <c r="O192" s="272">
        <v>147077.70000000001</v>
      </c>
      <c r="P192" s="272">
        <v>0</v>
      </c>
      <c r="Q192" s="272">
        <v>349828.89</v>
      </c>
      <c r="R192" s="272">
        <v>60438.06</v>
      </c>
    </row>
    <row r="193" spans="1:18">
      <c r="A193" s="25" t="s">
        <v>552</v>
      </c>
      <c r="B193" s="25" t="s">
        <v>553</v>
      </c>
      <c r="C193" s="25" t="s">
        <v>156</v>
      </c>
      <c r="D193" s="25" t="s">
        <v>162</v>
      </c>
      <c r="E193" s="25" t="s">
        <v>100</v>
      </c>
      <c r="F193" s="26">
        <v>363878.56</v>
      </c>
      <c r="G193" s="3">
        <f t="shared" si="2"/>
        <v>363879</v>
      </c>
      <c r="L193" s="271" t="s">
        <v>550</v>
      </c>
      <c r="M193" s="271" t="s">
        <v>551</v>
      </c>
      <c r="N193" s="272">
        <v>0</v>
      </c>
      <c r="O193" s="272">
        <v>0</v>
      </c>
      <c r="P193" s="272">
        <v>0</v>
      </c>
      <c r="Q193" s="272">
        <v>0</v>
      </c>
      <c r="R193" s="272">
        <v>0</v>
      </c>
    </row>
    <row r="194" spans="1:18">
      <c r="A194" s="25" t="s">
        <v>554</v>
      </c>
      <c r="B194" s="25" t="s">
        <v>555</v>
      </c>
      <c r="C194" s="25" t="s">
        <v>156</v>
      </c>
      <c r="D194" s="25" t="s">
        <v>162</v>
      </c>
      <c r="E194" s="25" t="s">
        <v>100</v>
      </c>
      <c r="F194" s="26">
        <v>99198.37</v>
      </c>
      <c r="G194" s="3">
        <f t="shared" si="2"/>
        <v>99198</v>
      </c>
      <c r="L194" s="271" t="s">
        <v>552</v>
      </c>
      <c r="M194" s="271" t="s">
        <v>553</v>
      </c>
      <c r="N194" s="272">
        <v>363878.56</v>
      </c>
      <c r="O194" s="30">
        <v>352400</v>
      </c>
      <c r="P194" s="272">
        <v>0</v>
      </c>
      <c r="Q194" s="30">
        <v>840</v>
      </c>
      <c r="R194" s="30">
        <v>10638.56</v>
      </c>
    </row>
    <row r="195" spans="1:18">
      <c r="A195" s="25" t="s">
        <v>556</v>
      </c>
      <c r="B195" s="25" t="s">
        <v>557</v>
      </c>
      <c r="C195" s="25" t="s">
        <v>156</v>
      </c>
      <c r="D195" s="25" t="s">
        <v>162</v>
      </c>
      <c r="E195" s="25" t="s">
        <v>100</v>
      </c>
      <c r="F195" s="26">
        <v>1768616.63</v>
      </c>
      <c r="G195" s="3">
        <f t="shared" si="2"/>
        <v>1768617</v>
      </c>
      <c r="H195" s="28">
        <v>-462495</v>
      </c>
      <c r="I195" t="s">
        <v>2251</v>
      </c>
      <c r="L195" s="271" t="s">
        <v>554</v>
      </c>
      <c r="M195" s="271" t="s">
        <v>555</v>
      </c>
      <c r="N195" s="272">
        <v>99198.37</v>
      </c>
      <c r="O195" s="30">
        <v>42033.67</v>
      </c>
      <c r="P195" s="272">
        <v>0</v>
      </c>
      <c r="Q195" s="30">
        <v>43005.33</v>
      </c>
      <c r="R195" s="30">
        <v>14159.37</v>
      </c>
    </row>
    <row r="196" spans="1:18">
      <c r="A196" s="25" t="s">
        <v>558</v>
      </c>
      <c r="B196" s="25" t="s">
        <v>559</v>
      </c>
      <c r="C196" s="25" t="s">
        <v>156</v>
      </c>
      <c r="D196" s="25" t="s">
        <v>162</v>
      </c>
      <c r="E196" s="25" t="s">
        <v>100</v>
      </c>
      <c r="F196" s="26">
        <v>120143.37</v>
      </c>
      <c r="G196" s="3">
        <f t="shared" si="2"/>
        <v>120143</v>
      </c>
      <c r="L196" s="271" t="s">
        <v>556</v>
      </c>
      <c r="M196" s="271" t="s">
        <v>557</v>
      </c>
      <c r="N196" s="272">
        <v>1768616.63</v>
      </c>
      <c r="O196" s="30">
        <v>675326.36</v>
      </c>
      <c r="P196" s="272">
        <v>0</v>
      </c>
      <c r="Q196" s="30">
        <v>857720.19</v>
      </c>
      <c r="R196" s="30">
        <v>235570.08</v>
      </c>
    </row>
    <row r="197" spans="1:18">
      <c r="A197" s="25" t="s">
        <v>560</v>
      </c>
      <c r="B197" s="25" t="s">
        <v>561</v>
      </c>
      <c r="C197" s="25" t="s">
        <v>156</v>
      </c>
      <c r="D197" s="25" t="s">
        <v>162</v>
      </c>
      <c r="E197" s="25" t="s">
        <v>100</v>
      </c>
      <c r="F197" s="26">
        <v>134067.49</v>
      </c>
      <c r="G197" s="3">
        <f t="shared" ref="G197:G260" si="3">ROUND(F197,0)</f>
        <v>134067</v>
      </c>
      <c r="L197" s="271" t="s">
        <v>558</v>
      </c>
      <c r="M197" s="271" t="s">
        <v>559</v>
      </c>
      <c r="N197" s="272">
        <v>120143.37</v>
      </c>
      <c r="O197" s="30">
        <v>37697.949999999997</v>
      </c>
      <c r="P197" s="272">
        <v>0</v>
      </c>
      <c r="Q197" s="30">
        <v>51898.21</v>
      </c>
      <c r="R197" s="30">
        <v>30547.21</v>
      </c>
    </row>
    <row r="198" spans="1:18">
      <c r="A198" s="25" t="s">
        <v>562</v>
      </c>
      <c r="B198" s="25" t="s">
        <v>563</v>
      </c>
      <c r="C198" s="25" t="s">
        <v>156</v>
      </c>
      <c r="D198" s="25" t="s">
        <v>162</v>
      </c>
      <c r="E198" s="25" t="s">
        <v>100</v>
      </c>
      <c r="F198" s="26">
        <v>181041.84</v>
      </c>
      <c r="G198" s="3">
        <f t="shared" si="3"/>
        <v>181042</v>
      </c>
      <c r="L198" s="271" t="s">
        <v>560</v>
      </c>
      <c r="M198" s="271" t="s">
        <v>561</v>
      </c>
      <c r="N198" s="272">
        <v>134067.49</v>
      </c>
      <c r="O198" s="30">
        <v>68754.320000000007</v>
      </c>
      <c r="P198" s="272">
        <v>0</v>
      </c>
      <c r="Q198" s="30">
        <v>48844.76</v>
      </c>
      <c r="R198" s="30">
        <v>16468.41</v>
      </c>
    </row>
    <row r="199" spans="1:18">
      <c r="A199" s="25" t="s">
        <v>564</v>
      </c>
      <c r="B199" s="25" t="s">
        <v>565</v>
      </c>
      <c r="C199" s="25" t="s">
        <v>156</v>
      </c>
      <c r="D199" s="25" t="s">
        <v>162</v>
      </c>
      <c r="E199" s="25" t="s">
        <v>100</v>
      </c>
      <c r="F199" s="26">
        <v>0</v>
      </c>
      <c r="G199" s="3">
        <f t="shared" si="3"/>
        <v>0</v>
      </c>
      <c r="L199" s="271" t="s">
        <v>562</v>
      </c>
      <c r="M199" s="271" t="s">
        <v>563</v>
      </c>
      <c r="N199" s="272">
        <v>181041.84</v>
      </c>
      <c r="O199" s="272">
        <v>0</v>
      </c>
      <c r="P199" s="272">
        <v>0</v>
      </c>
      <c r="Q199" s="30">
        <v>179435.4</v>
      </c>
      <c r="R199" s="30">
        <v>1606.44</v>
      </c>
    </row>
    <row r="200" spans="1:18">
      <c r="A200" s="25" t="s">
        <v>566</v>
      </c>
      <c r="B200" s="25" t="s">
        <v>567</v>
      </c>
      <c r="C200" s="25" t="s">
        <v>156</v>
      </c>
      <c r="D200" s="25" t="s">
        <v>169</v>
      </c>
      <c r="E200" s="25" t="s">
        <v>568</v>
      </c>
      <c r="F200" s="26">
        <v>2666946.2599999998</v>
      </c>
      <c r="G200" s="3">
        <f t="shared" si="3"/>
        <v>2666946</v>
      </c>
      <c r="L200" s="271" t="s">
        <v>564</v>
      </c>
      <c r="M200" s="271" t="s">
        <v>565</v>
      </c>
      <c r="N200" s="272">
        <v>0</v>
      </c>
      <c r="O200" s="272">
        <v>0</v>
      </c>
      <c r="P200" s="272">
        <v>0</v>
      </c>
      <c r="Q200" s="272">
        <v>0</v>
      </c>
      <c r="R200" s="272">
        <v>0</v>
      </c>
    </row>
    <row r="201" spans="1:18">
      <c r="A201" s="25" t="s">
        <v>569</v>
      </c>
      <c r="B201" s="25" t="s">
        <v>570</v>
      </c>
      <c r="C201" s="25" t="s">
        <v>156</v>
      </c>
      <c r="D201" s="25" t="s">
        <v>157</v>
      </c>
      <c r="E201" s="25" t="s">
        <v>100</v>
      </c>
      <c r="F201" s="26">
        <v>0</v>
      </c>
      <c r="G201" s="3">
        <f t="shared" si="3"/>
        <v>0</v>
      </c>
      <c r="L201" s="271" t="s">
        <v>566</v>
      </c>
      <c r="M201" s="271" t="s">
        <v>567</v>
      </c>
      <c r="N201" s="272">
        <v>2666946.2599999998</v>
      </c>
      <c r="O201" s="272">
        <v>1176212.3</v>
      </c>
      <c r="P201" s="272">
        <v>0</v>
      </c>
      <c r="Q201" s="272">
        <v>1181743.8899999999</v>
      </c>
      <c r="R201" s="272">
        <v>308990.07</v>
      </c>
    </row>
    <row r="202" spans="1:18">
      <c r="A202" s="25" t="s">
        <v>571</v>
      </c>
      <c r="B202" s="25" t="s">
        <v>572</v>
      </c>
      <c r="C202" s="25" t="s">
        <v>156</v>
      </c>
      <c r="D202" s="25" t="s">
        <v>162</v>
      </c>
      <c r="E202" s="25" t="s">
        <v>100</v>
      </c>
      <c r="F202" s="26">
        <v>16689.38</v>
      </c>
      <c r="G202" s="3">
        <f t="shared" si="3"/>
        <v>16689</v>
      </c>
      <c r="L202" s="271" t="s">
        <v>569</v>
      </c>
      <c r="M202" s="271" t="s">
        <v>570</v>
      </c>
      <c r="N202" s="272">
        <v>0</v>
      </c>
      <c r="O202" s="272">
        <v>0</v>
      </c>
      <c r="P202" s="272">
        <v>0</v>
      </c>
      <c r="Q202" s="272">
        <v>0</v>
      </c>
      <c r="R202" s="272">
        <v>0</v>
      </c>
    </row>
    <row r="203" spans="1:18">
      <c r="A203" s="25" t="s">
        <v>573</v>
      </c>
      <c r="B203" s="25" t="s">
        <v>574</v>
      </c>
      <c r="C203" s="25" t="s">
        <v>156</v>
      </c>
      <c r="D203" s="25" t="s">
        <v>162</v>
      </c>
      <c r="E203" s="25" t="s">
        <v>100</v>
      </c>
      <c r="F203" s="26">
        <v>26943.5</v>
      </c>
      <c r="G203" s="3">
        <f t="shared" si="3"/>
        <v>26944</v>
      </c>
      <c r="L203" s="271" t="s">
        <v>571</v>
      </c>
      <c r="M203" s="271" t="s">
        <v>572</v>
      </c>
      <c r="N203" s="272">
        <v>16689.38</v>
      </c>
      <c r="O203" s="272">
        <v>0</v>
      </c>
      <c r="P203" s="272">
        <v>0</v>
      </c>
      <c r="Q203" s="30">
        <v>15744.88</v>
      </c>
      <c r="R203" s="30">
        <v>944.5</v>
      </c>
    </row>
    <row r="204" spans="1:18">
      <c r="A204" s="25" t="s">
        <v>575</v>
      </c>
      <c r="B204" s="25" t="s">
        <v>576</v>
      </c>
      <c r="C204" s="25" t="s">
        <v>156</v>
      </c>
      <c r="D204" s="25" t="s">
        <v>169</v>
      </c>
      <c r="E204" s="25" t="s">
        <v>577</v>
      </c>
      <c r="F204" s="26">
        <v>43632.88</v>
      </c>
      <c r="G204" s="3">
        <f t="shared" si="3"/>
        <v>43633</v>
      </c>
      <c r="L204" s="271" t="s">
        <v>573</v>
      </c>
      <c r="M204" s="271" t="s">
        <v>574</v>
      </c>
      <c r="N204" s="272">
        <v>26943.5</v>
      </c>
      <c r="O204" s="30">
        <v>12450</v>
      </c>
      <c r="P204" s="272">
        <v>0</v>
      </c>
      <c r="Q204" s="272">
        <v>14493.5</v>
      </c>
      <c r="R204" s="30">
        <v>0</v>
      </c>
    </row>
    <row r="205" spans="1:18">
      <c r="A205" s="25" t="s">
        <v>578</v>
      </c>
      <c r="B205" s="25" t="s">
        <v>579</v>
      </c>
      <c r="C205" s="25" t="s">
        <v>156</v>
      </c>
      <c r="D205" s="25" t="s">
        <v>157</v>
      </c>
      <c r="E205" s="25" t="s">
        <v>100</v>
      </c>
      <c r="F205" s="26">
        <v>0</v>
      </c>
      <c r="G205" s="3">
        <f t="shared" si="3"/>
        <v>0</v>
      </c>
      <c r="L205" s="271" t="s">
        <v>575</v>
      </c>
      <c r="M205" s="271" t="s">
        <v>576</v>
      </c>
      <c r="N205" s="272">
        <v>43632.88</v>
      </c>
      <c r="O205" s="30">
        <v>12450</v>
      </c>
      <c r="P205" s="272">
        <v>0</v>
      </c>
      <c r="Q205" s="272">
        <v>30238.38</v>
      </c>
      <c r="R205" s="30">
        <v>944.5</v>
      </c>
    </row>
    <row r="206" spans="1:18">
      <c r="A206" s="25" t="s">
        <v>580</v>
      </c>
      <c r="B206" s="25" t="s">
        <v>581</v>
      </c>
      <c r="C206" s="25" t="s">
        <v>156</v>
      </c>
      <c r="D206" s="25" t="s">
        <v>162</v>
      </c>
      <c r="E206" s="25" t="s">
        <v>100</v>
      </c>
      <c r="F206" s="26">
        <v>64336.74</v>
      </c>
      <c r="G206" s="3">
        <f t="shared" si="3"/>
        <v>64337</v>
      </c>
      <c r="L206" s="271" t="s">
        <v>578</v>
      </c>
      <c r="M206" s="271" t="s">
        <v>579</v>
      </c>
      <c r="N206" s="272">
        <v>0</v>
      </c>
      <c r="O206" s="272">
        <v>0</v>
      </c>
      <c r="P206" s="272">
        <v>0</v>
      </c>
      <c r="Q206" s="30">
        <v>0</v>
      </c>
      <c r="R206" s="272">
        <v>0</v>
      </c>
    </row>
    <row r="207" spans="1:18">
      <c r="A207" s="25" t="s">
        <v>582</v>
      </c>
      <c r="B207" s="25" t="s">
        <v>583</v>
      </c>
      <c r="C207" s="25" t="s">
        <v>156</v>
      </c>
      <c r="D207" s="25" t="s">
        <v>162</v>
      </c>
      <c r="E207" s="25" t="s">
        <v>100</v>
      </c>
      <c r="F207" s="26">
        <v>225659.8</v>
      </c>
      <c r="G207" s="3">
        <f t="shared" si="3"/>
        <v>225660</v>
      </c>
      <c r="H207" s="28">
        <v>-46080</v>
      </c>
      <c r="I207" t="s">
        <v>2250</v>
      </c>
      <c r="L207" s="271" t="s">
        <v>580</v>
      </c>
      <c r="M207" s="271" t="s">
        <v>581</v>
      </c>
      <c r="N207" s="272">
        <v>64336.74</v>
      </c>
      <c r="O207" s="30">
        <v>64336.74</v>
      </c>
      <c r="P207" s="272">
        <v>0</v>
      </c>
      <c r="Q207" s="30">
        <v>0</v>
      </c>
      <c r="R207" s="272">
        <v>0</v>
      </c>
    </row>
    <row r="208" spans="1:18">
      <c r="A208" s="25" t="s">
        <v>584</v>
      </c>
      <c r="B208" s="25" t="s">
        <v>2199</v>
      </c>
      <c r="C208" s="25" t="s">
        <v>156</v>
      </c>
      <c r="D208" s="25" t="s">
        <v>162</v>
      </c>
      <c r="E208" s="25" t="s">
        <v>100</v>
      </c>
      <c r="F208" s="26">
        <v>-56385</v>
      </c>
      <c r="G208" s="3">
        <f t="shared" si="3"/>
        <v>-56385</v>
      </c>
      <c r="L208" s="271" t="s">
        <v>582</v>
      </c>
      <c r="M208" s="271" t="s">
        <v>583</v>
      </c>
      <c r="N208" s="272">
        <v>225659.8</v>
      </c>
      <c r="O208" s="30">
        <v>225659.8</v>
      </c>
      <c r="P208" s="272">
        <v>0</v>
      </c>
      <c r="Q208" s="30">
        <v>0</v>
      </c>
      <c r="R208" s="272">
        <v>0</v>
      </c>
    </row>
    <row r="209" spans="1:18">
      <c r="A209" s="25" t="s">
        <v>586</v>
      </c>
      <c r="B209" s="25" t="s">
        <v>587</v>
      </c>
      <c r="C209" s="25" t="s">
        <v>156</v>
      </c>
      <c r="D209" s="25" t="s">
        <v>162</v>
      </c>
      <c r="E209" s="25" t="s">
        <v>100</v>
      </c>
      <c r="F209" s="26">
        <v>100054.3</v>
      </c>
      <c r="G209" s="3">
        <f t="shared" si="3"/>
        <v>100054</v>
      </c>
      <c r="L209" s="271" t="s">
        <v>584</v>
      </c>
      <c r="M209" s="271" t="s">
        <v>2199</v>
      </c>
      <c r="N209" s="272">
        <v>-56385</v>
      </c>
      <c r="O209" s="30">
        <v>-56385</v>
      </c>
      <c r="P209" s="272">
        <v>0</v>
      </c>
      <c r="Q209" s="30">
        <v>0</v>
      </c>
      <c r="R209" s="272">
        <v>0</v>
      </c>
    </row>
    <row r="210" spans="1:18">
      <c r="A210" s="25" t="s">
        <v>588</v>
      </c>
      <c r="B210" s="25" t="s">
        <v>589</v>
      </c>
      <c r="C210" s="25" t="s">
        <v>156</v>
      </c>
      <c r="D210" s="25" t="s">
        <v>162</v>
      </c>
      <c r="E210" s="25" t="s">
        <v>100</v>
      </c>
      <c r="F210" s="26">
        <v>86648.47</v>
      </c>
      <c r="G210" s="3">
        <f t="shared" si="3"/>
        <v>86648</v>
      </c>
      <c r="L210" s="271" t="s">
        <v>586</v>
      </c>
      <c r="M210" s="271" t="s">
        <v>587</v>
      </c>
      <c r="N210" s="272">
        <v>100054.3</v>
      </c>
      <c r="O210" s="272">
        <v>0</v>
      </c>
      <c r="P210" s="272">
        <v>0</v>
      </c>
      <c r="Q210" s="30">
        <v>100054.3</v>
      </c>
      <c r="R210" s="272">
        <v>0</v>
      </c>
    </row>
    <row r="211" spans="1:18">
      <c r="A211" s="25" t="s">
        <v>590</v>
      </c>
      <c r="B211" s="25" t="s">
        <v>591</v>
      </c>
      <c r="C211" s="25" t="s">
        <v>156</v>
      </c>
      <c r="D211" s="25" t="s">
        <v>162</v>
      </c>
      <c r="E211" s="25" t="s">
        <v>100</v>
      </c>
      <c r="F211" s="26">
        <v>31544.03</v>
      </c>
      <c r="G211" s="3">
        <f t="shared" si="3"/>
        <v>31544</v>
      </c>
      <c r="L211" s="271" t="s">
        <v>588</v>
      </c>
      <c r="M211" s="271" t="s">
        <v>589</v>
      </c>
      <c r="N211" s="272">
        <v>86648.47</v>
      </c>
      <c r="O211" s="272">
        <v>0</v>
      </c>
      <c r="P211" s="272">
        <v>0</v>
      </c>
      <c r="Q211" s="30">
        <v>86648.47</v>
      </c>
      <c r="R211" s="272">
        <v>0</v>
      </c>
    </row>
    <row r="212" spans="1:18">
      <c r="A212" s="25" t="s">
        <v>592</v>
      </c>
      <c r="B212" s="25" t="s">
        <v>2275</v>
      </c>
      <c r="C212" s="25" t="s">
        <v>156</v>
      </c>
      <c r="D212" s="25" t="s">
        <v>162</v>
      </c>
      <c r="E212" s="25" t="s">
        <v>100</v>
      </c>
      <c r="F212" s="26">
        <v>44332.45</v>
      </c>
      <c r="G212" s="3">
        <f t="shared" si="3"/>
        <v>44332</v>
      </c>
      <c r="L212" s="271" t="s">
        <v>590</v>
      </c>
      <c r="M212" s="271" t="s">
        <v>591</v>
      </c>
      <c r="N212" s="272">
        <v>31544.03</v>
      </c>
      <c r="O212" s="30">
        <v>31544.03</v>
      </c>
      <c r="P212" s="272">
        <v>0</v>
      </c>
      <c r="Q212" s="30">
        <v>0</v>
      </c>
      <c r="R212" s="272">
        <v>0</v>
      </c>
    </row>
    <row r="213" spans="1:18">
      <c r="A213" s="25" t="s">
        <v>597</v>
      </c>
      <c r="B213" s="25" t="s">
        <v>595</v>
      </c>
      <c r="C213" s="25" t="s">
        <v>156</v>
      </c>
      <c r="D213" s="25" t="s">
        <v>169</v>
      </c>
      <c r="E213" s="25" t="s">
        <v>2252</v>
      </c>
      <c r="F213" s="26">
        <v>496190.79</v>
      </c>
      <c r="G213" s="3">
        <f t="shared" si="3"/>
        <v>496191</v>
      </c>
      <c r="L213" s="271" t="s">
        <v>592</v>
      </c>
      <c r="M213" s="271" t="s">
        <v>2275</v>
      </c>
      <c r="N213" s="272">
        <v>44332.45</v>
      </c>
      <c r="O213" s="30">
        <v>44332.45</v>
      </c>
      <c r="P213" s="272">
        <v>0</v>
      </c>
      <c r="Q213" s="30">
        <v>0</v>
      </c>
      <c r="R213" s="272">
        <v>0</v>
      </c>
    </row>
    <row r="214" spans="1:18">
      <c r="A214" s="25" t="s">
        <v>620</v>
      </c>
      <c r="B214" s="25" t="s">
        <v>621</v>
      </c>
      <c r="C214" s="25" t="s">
        <v>156</v>
      </c>
      <c r="D214" s="25" t="s">
        <v>169</v>
      </c>
      <c r="E214" s="25" t="s">
        <v>622</v>
      </c>
      <c r="F214" s="26">
        <v>4243614.43</v>
      </c>
      <c r="G214" s="3">
        <f t="shared" si="3"/>
        <v>4243614</v>
      </c>
      <c r="L214" s="271" t="s">
        <v>597</v>
      </c>
      <c r="M214" s="271" t="s">
        <v>595</v>
      </c>
      <c r="N214" s="272">
        <v>496190.79</v>
      </c>
      <c r="O214" s="272">
        <v>309488.02</v>
      </c>
      <c r="P214" s="272">
        <v>0</v>
      </c>
      <c r="Q214" s="30">
        <v>186702.77</v>
      </c>
      <c r="R214" s="272">
        <v>0</v>
      </c>
    </row>
    <row r="215" spans="1:18">
      <c r="A215" s="25" t="s">
        <v>623</v>
      </c>
      <c r="B215" s="25" t="s">
        <v>624</v>
      </c>
      <c r="C215" s="25" t="s">
        <v>156</v>
      </c>
      <c r="D215" s="25" t="s">
        <v>169</v>
      </c>
      <c r="E215" s="25" t="s">
        <v>625</v>
      </c>
      <c r="F215" s="26">
        <v>4110818.63</v>
      </c>
      <c r="G215" s="3">
        <f t="shared" si="3"/>
        <v>4110819</v>
      </c>
      <c r="L215" s="271" t="s">
        <v>620</v>
      </c>
      <c r="M215" s="271" t="s">
        <v>621</v>
      </c>
      <c r="N215" s="272">
        <v>4198614.43</v>
      </c>
      <c r="O215" s="272">
        <f>2197978.65+H188</f>
        <v>2236064.65</v>
      </c>
      <c r="P215" s="272">
        <v>415.15</v>
      </c>
      <c r="Q215" s="272">
        <v>1816248.73</v>
      </c>
      <c r="R215" s="272">
        <v>183971.9</v>
      </c>
    </row>
    <row r="216" spans="1:18">
      <c r="A216" s="25" t="s">
        <v>626</v>
      </c>
      <c r="B216" s="25" t="s">
        <v>627</v>
      </c>
      <c r="C216" s="25" t="s">
        <v>156</v>
      </c>
      <c r="D216" s="25" t="s">
        <v>157</v>
      </c>
      <c r="E216" s="25" t="s">
        <v>100</v>
      </c>
      <c r="F216" s="26">
        <v>0</v>
      </c>
      <c r="G216" s="3">
        <f t="shared" si="3"/>
        <v>0</v>
      </c>
      <c r="L216" s="271" t="s">
        <v>623</v>
      </c>
      <c r="M216" s="271" t="s">
        <v>624</v>
      </c>
      <c r="N216" s="272">
        <v>4062717.66</v>
      </c>
      <c r="O216" s="272">
        <f>2197978.65+H188</f>
        <v>2236064.65</v>
      </c>
      <c r="P216" s="272">
        <v>415.15</v>
      </c>
      <c r="Q216" s="272">
        <v>1680351.96</v>
      </c>
      <c r="R216" s="272">
        <v>183971.9</v>
      </c>
    </row>
    <row r="217" spans="1:18">
      <c r="A217" s="25" t="s">
        <v>628</v>
      </c>
      <c r="B217" s="25" t="s">
        <v>629</v>
      </c>
      <c r="C217" s="25" t="s">
        <v>156</v>
      </c>
      <c r="D217" s="25" t="s">
        <v>162</v>
      </c>
      <c r="E217" s="25" t="s">
        <v>100</v>
      </c>
      <c r="F217" s="26">
        <v>14221.62</v>
      </c>
      <c r="G217" s="29">
        <f t="shared" si="3"/>
        <v>14222</v>
      </c>
      <c r="L217" s="271" t="s">
        <v>626</v>
      </c>
      <c r="M217" s="271" t="s">
        <v>627</v>
      </c>
      <c r="N217" s="272">
        <v>0</v>
      </c>
      <c r="O217" s="272">
        <v>0</v>
      </c>
      <c r="P217" s="272">
        <v>0</v>
      </c>
      <c r="Q217" s="272">
        <v>0</v>
      </c>
      <c r="R217" s="272">
        <v>0</v>
      </c>
    </row>
    <row r="218" spans="1:18">
      <c r="A218" s="25" t="s">
        <v>630</v>
      </c>
      <c r="B218" s="25" t="s">
        <v>631</v>
      </c>
      <c r="C218" s="25" t="s">
        <v>156</v>
      </c>
      <c r="D218" s="25" t="s">
        <v>169</v>
      </c>
      <c r="E218" s="25" t="s">
        <v>632</v>
      </c>
      <c r="F218" s="26">
        <v>14221.62</v>
      </c>
      <c r="G218" s="29">
        <f t="shared" si="3"/>
        <v>14222</v>
      </c>
      <c r="L218" s="271" t="s">
        <v>628</v>
      </c>
      <c r="M218" s="271" t="s">
        <v>629</v>
      </c>
      <c r="N218" s="272">
        <v>0</v>
      </c>
      <c r="O218" s="272">
        <v>0</v>
      </c>
      <c r="P218" s="272">
        <v>0</v>
      </c>
      <c r="Q218" s="272">
        <v>0</v>
      </c>
      <c r="R218" s="272">
        <v>0</v>
      </c>
    </row>
    <row r="219" spans="1:18">
      <c r="A219" s="25" t="s">
        <v>633</v>
      </c>
      <c r="B219" s="25" t="s">
        <v>634</v>
      </c>
      <c r="C219" s="25" t="s">
        <v>156</v>
      </c>
      <c r="D219" s="25" t="s">
        <v>169</v>
      </c>
      <c r="E219" s="25" t="s">
        <v>635</v>
      </c>
      <c r="F219" s="26">
        <v>4125040.25</v>
      </c>
      <c r="G219" s="3">
        <f t="shared" si="3"/>
        <v>4125040</v>
      </c>
      <c r="L219" s="271" t="s">
        <v>630</v>
      </c>
      <c r="M219" s="271" t="s">
        <v>631</v>
      </c>
      <c r="N219" s="272">
        <v>0</v>
      </c>
      <c r="O219" s="272">
        <v>0</v>
      </c>
      <c r="P219" s="272">
        <v>0</v>
      </c>
      <c r="Q219" s="272">
        <v>0</v>
      </c>
      <c r="R219" s="272">
        <v>0</v>
      </c>
    </row>
    <row r="220" spans="1:18">
      <c r="A220" s="25" t="s">
        <v>636</v>
      </c>
      <c r="B220" s="25" t="s">
        <v>637</v>
      </c>
      <c r="C220" s="25" t="s">
        <v>156</v>
      </c>
      <c r="D220" s="25" t="s">
        <v>157</v>
      </c>
      <c r="E220" s="25" t="s">
        <v>100</v>
      </c>
      <c r="F220" s="26">
        <v>0</v>
      </c>
      <c r="G220" s="3">
        <f t="shared" si="3"/>
        <v>0</v>
      </c>
      <c r="L220" s="271" t="s">
        <v>633</v>
      </c>
      <c r="M220" s="271" t="s">
        <v>634</v>
      </c>
      <c r="N220" s="272">
        <v>4062717.66</v>
      </c>
      <c r="O220" s="272">
        <f>2197978.65</f>
        <v>2197978.65</v>
      </c>
      <c r="P220" s="272">
        <v>415.15</v>
      </c>
      <c r="Q220" s="272">
        <v>1680351.96</v>
      </c>
      <c r="R220" s="30">
        <v>183971.9</v>
      </c>
    </row>
    <row r="221" spans="1:18">
      <c r="A221" s="25" t="s">
        <v>2165</v>
      </c>
      <c r="B221" s="25" t="s">
        <v>639</v>
      </c>
      <c r="C221" s="25" t="s">
        <v>156</v>
      </c>
      <c r="D221" s="25" t="s">
        <v>157</v>
      </c>
      <c r="E221" s="25" t="s">
        <v>100</v>
      </c>
      <c r="F221" s="26">
        <v>0</v>
      </c>
      <c r="G221" s="15">
        <f t="shared" si="3"/>
        <v>0</v>
      </c>
    </row>
    <row r="222" spans="1:18">
      <c r="A222" s="25" t="s">
        <v>638</v>
      </c>
      <c r="B222" s="25" t="s">
        <v>639</v>
      </c>
      <c r="C222" s="25" t="s">
        <v>156</v>
      </c>
      <c r="D222" s="25" t="s">
        <v>157</v>
      </c>
      <c r="E222" s="25" t="s">
        <v>100</v>
      </c>
      <c r="F222" s="26">
        <v>0</v>
      </c>
      <c r="G222" s="15">
        <f t="shared" si="3"/>
        <v>0</v>
      </c>
    </row>
    <row r="223" spans="1:18">
      <c r="A223" s="25" t="s">
        <v>640</v>
      </c>
      <c r="B223" s="25" t="s">
        <v>641</v>
      </c>
      <c r="C223" s="25" t="s">
        <v>156</v>
      </c>
      <c r="D223" s="25" t="s">
        <v>162</v>
      </c>
      <c r="E223" s="25" t="s">
        <v>100</v>
      </c>
      <c r="F223" s="26">
        <v>-3061754.55</v>
      </c>
      <c r="G223" s="15">
        <f t="shared" si="3"/>
        <v>-3061755</v>
      </c>
    </row>
    <row r="224" spans="1:18">
      <c r="A224" s="25" t="s">
        <v>642</v>
      </c>
      <c r="B224" s="25" t="s">
        <v>643</v>
      </c>
      <c r="C224" s="25" t="s">
        <v>156</v>
      </c>
      <c r="D224" s="25" t="s">
        <v>162</v>
      </c>
      <c r="E224" s="25" t="s">
        <v>100</v>
      </c>
      <c r="F224" s="26">
        <v>-35522.6</v>
      </c>
      <c r="G224" s="15">
        <f t="shared" si="3"/>
        <v>-35523</v>
      </c>
    </row>
    <row r="225" spans="1:8">
      <c r="A225" s="25" t="s">
        <v>644</v>
      </c>
      <c r="B225" s="25" t="s">
        <v>645</v>
      </c>
      <c r="C225" s="25" t="s">
        <v>156</v>
      </c>
      <c r="D225" s="25" t="s">
        <v>162</v>
      </c>
      <c r="E225" s="25" t="s">
        <v>100</v>
      </c>
      <c r="F225" s="26">
        <v>0</v>
      </c>
      <c r="G225" s="15">
        <f t="shared" si="3"/>
        <v>0</v>
      </c>
    </row>
    <row r="226" spans="1:8">
      <c r="A226" s="25" t="s">
        <v>646</v>
      </c>
      <c r="B226" s="25" t="s">
        <v>202</v>
      </c>
      <c r="C226" s="25" t="s">
        <v>156</v>
      </c>
      <c r="D226" s="25" t="s">
        <v>162</v>
      </c>
      <c r="E226" s="25" t="s">
        <v>100</v>
      </c>
      <c r="F226" s="26">
        <v>0</v>
      </c>
      <c r="G226" s="15">
        <f t="shared" si="3"/>
        <v>0</v>
      </c>
    </row>
    <row r="227" spans="1:8">
      <c r="A227" s="25" t="s">
        <v>647</v>
      </c>
      <c r="B227" s="25" t="s">
        <v>648</v>
      </c>
      <c r="C227" s="25" t="s">
        <v>156</v>
      </c>
      <c r="D227" s="25" t="s">
        <v>162</v>
      </c>
      <c r="E227" s="25" t="s">
        <v>100</v>
      </c>
      <c r="F227" s="26">
        <v>52000</v>
      </c>
      <c r="G227" s="15">
        <f t="shared" si="3"/>
        <v>52000</v>
      </c>
    </row>
    <row r="228" spans="1:8">
      <c r="A228" s="25" t="s">
        <v>649</v>
      </c>
      <c r="B228" s="25" t="s">
        <v>650</v>
      </c>
      <c r="C228" s="25" t="s">
        <v>156</v>
      </c>
      <c r="D228" s="25" t="s">
        <v>162</v>
      </c>
      <c r="E228" s="25" t="s">
        <v>100</v>
      </c>
      <c r="F228" s="26">
        <v>253279.72</v>
      </c>
      <c r="G228" s="15">
        <f t="shared" si="3"/>
        <v>253280</v>
      </c>
    </row>
    <row r="229" spans="1:8">
      <c r="A229" s="25" t="s">
        <v>651</v>
      </c>
      <c r="B229" s="25" t="s">
        <v>652</v>
      </c>
      <c r="C229" s="25" t="s">
        <v>156</v>
      </c>
      <c r="D229" s="25" t="s">
        <v>162</v>
      </c>
      <c r="E229" s="25" t="s">
        <v>100</v>
      </c>
      <c r="F229" s="26">
        <v>374079.09</v>
      </c>
      <c r="G229" s="15">
        <f t="shared" si="3"/>
        <v>374079</v>
      </c>
    </row>
    <row r="230" spans="1:8">
      <c r="A230" s="25" t="s">
        <v>653</v>
      </c>
      <c r="B230" s="25" t="s">
        <v>654</v>
      </c>
      <c r="C230" s="25" t="s">
        <v>156</v>
      </c>
      <c r="D230" s="25" t="s">
        <v>162</v>
      </c>
      <c r="E230" s="25" t="s">
        <v>100</v>
      </c>
      <c r="F230" s="26">
        <v>2072</v>
      </c>
      <c r="G230" s="15">
        <f t="shared" si="3"/>
        <v>2072</v>
      </c>
    </row>
    <row r="231" spans="1:8">
      <c r="A231" s="25" t="s">
        <v>655</v>
      </c>
      <c r="B231" s="25" t="s">
        <v>656</v>
      </c>
      <c r="C231" s="25" t="s">
        <v>156</v>
      </c>
      <c r="D231" s="25" t="s">
        <v>162</v>
      </c>
      <c r="E231" s="25" t="s">
        <v>100</v>
      </c>
      <c r="F231" s="26">
        <v>32485</v>
      </c>
      <c r="G231" s="15">
        <f t="shared" si="3"/>
        <v>32485</v>
      </c>
    </row>
    <row r="232" spans="1:8">
      <c r="A232" s="25" t="s">
        <v>657</v>
      </c>
      <c r="B232" s="25" t="s">
        <v>658</v>
      </c>
      <c r="C232" s="25" t="s">
        <v>156</v>
      </c>
      <c r="D232" s="25" t="s">
        <v>162</v>
      </c>
      <c r="E232" s="25" t="s">
        <v>100</v>
      </c>
      <c r="F232" s="26">
        <v>1209</v>
      </c>
      <c r="G232" s="15">
        <f t="shared" si="3"/>
        <v>1209</v>
      </c>
    </row>
    <row r="233" spans="1:8">
      <c r="A233" s="25" t="s">
        <v>659</v>
      </c>
      <c r="B233" s="25" t="s">
        <v>660</v>
      </c>
      <c r="C233" s="25" t="s">
        <v>156</v>
      </c>
      <c r="D233" s="25" t="s">
        <v>162</v>
      </c>
      <c r="E233" s="25" t="s">
        <v>100</v>
      </c>
      <c r="F233" s="26">
        <v>1059767.08</v>
      </c>
      <c r="G233" s="15">
        <f t="shared" si="3"/>
        <v>1059767</v>
      </c>
    </row>
    <row r="234" spans="1:8">
      <c r="A234" s="25" t="s">
        <v>661</v>
      </c>
      <c r="B234" s="25" t="s">
        <v>662</v>
      </c>
      <c r="C234" s="25" t="s">
        <v>156</v>
      </c>
      <c r="D234" s="25" t="s">
        <v>162</v>
      </c>
      <c r="E234" s="25" t="s">
        <v>100</v>
      </c>
      <c r="F234" s="26">
        <v>0</v>
      </c>
      <c r="G234" s="15">
        <f t="shared" si="3"/>
        <v>0</v>
      </c>
    </row>
    <row r="235" spans="1:8">
      <c r="A235" s="25" t="s">
        <v>663</v>
      </c>
      <c r="B235" s="25" t="s">
        <v>664</v>
      </c>
      <c r="C235" s="25" t="s">
        <v>156</v>
      </c>
      <c r="D235" s="25" t="s">
        <v>162</v>
      </c>
      <c r="E235" s="25" t="s">
        <v>100</v>
      </c>
      <c r="F235" s="26">
        <v>954643.28</v>
      </c>
      <c r="G235" s="15">
        <f t="shared" si="3"/>
        <v>954643</v>
      </c>
    </row>
    <row r="236" spans="1:8">
      <c r="A236" s="25" t="s">
        <v>665</v>
      </c>
      <c r="B236" s="25" t="s">
        <v>666</v>
      </c>
      <c r="C236" s="25" t="s">
        <v>156</v>
      </c>
      <c r="D236" s="25" t="s">
        <v>162</v>
      </c>
      <c r="E236" s="25" t="s">
        <v>100</v>
      </c>
      <c r="F236" s="26">
        <v>198185.86</v>
      </c>
      <c r="G236" s="15">
        <f t="shared" si="3"/>
        <v>198186</v>
      </c>
    </row>
    <row r="237" spans="1:8">
      <c r="A237" s="25" t="s">
        <v>667</v>
      </c>
      <c r="B237" s="25" t="s">
        <v>220</v>
      </c>
      <c r="C237" s="25" t="s">
        <v>156</v>
      </c>
      <c r="D237" s="25" t="s">
        <v>162</v>
      </c>
      <c r="E237" s="25" t="s">
        <v>100</v>
      </c>
      <c r="F237" s="26">
        <v>38992.39</v>
      </c>
      <c r="G237" s="15">
        <f t="shared" si="3"/>
        <v>38992</v>
      </c>
    </row>
    <row r="238" spans="1:8">
      <c r="A238" s="25" t="s">
        <v>2253</v>
      </c>
      <c r="B238" s="25" t="s">
        <v>1586</v>
      </c>
      <c r="C238" s="25" t="s">
        <v>156</v>
      </c>
      <c r="D238" s="25" t="s">
        <v>169</v>
      </c>
      <c r="E238" s="25" t="s">
        <v>2254</v>
      </c>
      <c r="F238" s="26">
        <v>-130563.73</v>
      </c>
      <c r="G238" s="15">
        <f t="shared" si="3"/>
        <v>-130564</v>
      </c>
    </row>
    <row r="239" spans="1:8">
      <c r="A239" s="25" t="s">
        <v>2255</v>
      </c>
      <c r="B239" s="25" t="s">
        <v>2256</v>
      </c>
      <c r="C239" s="25" t="s">
        <v>156</v>
      </c>
      <c r="D239" s="25" t="s">
        <v>157</v>
      </c>
      <c r="E239" s="25" t="s">
        <v>100</v>
      </c>
      <c r="F239" s="26">
        <v>0</v>
      </c>
      <c r="G239" s="15">
        <f t="shared" si="3"/>
        <v>0</v>
      </c>
    </row>
    <row r="240" spans="1:8">
      <c r="A240" s="25" t="s">
        <v>668</v>
      </c>
      <c r="B240" s="25" t="s">
        <v>669</v>
      </c>
      <c r="C240" s="25" t="s">
        <v>156</v>
      </c>
      <c r="D240" s="25" t="s">
        <v>162</v>
      </c>
      <c r="E240" s="25" t="s">
        <v>100</v>
      </c>
      <c r="F240" s="26">
        <v>690422.38</v>
      </c>
      <c r="G240" s="15">
        <f t="shared" si="3"/>
        <v>690422</v>
      </c>
      <c r="H240" s="28">
        <v>-90000</v>
      </c>
    </row>
    <row r="241" spans="1:8">
      <c r="A241" s="25" t="s">
        <v>670</v>
      </c>
      <c r="B241" s="25" t="s">
        <v>671</v>
      </c>
      <c r="C241" s="25" t="s">
        <v>156</v>
      </c>
      <c r="D241" s="25" t="s">
        <v>162</v>
      </c>
      <c r="E241" s="25" t="s">
        <v>100</v>
      </c>
      <c r="F241" s="26">
        <v>0</v>
      </c>
      <c r="G241" s="15">
        <f t="shared" si="3"/>
        <v>0</v>
      </c>
    </row>
    <row r="242" spans="1:8">
      <c r="A242" s="25" t="s">
        <v>2166</v>
      </c>
      <c r="B242" s="25" t="s">
        <v>2167</v>
      </c>
      <c r="C242" s="25" t="s">
        <v>156</v>
      </c>
      <c r="D242" s="25" t="s">
        <v>169</v>
      </c>
      <c r="E242" s="25" t="s">
        <v>2257</v>
      </c>
      <c r="F242" s="26">
        <v>690422.38</v>
      </c>
      <c r="G242" s="15">
        <f t="shared" si="3"/>
        <v>690422</v>
      </c>
    </row>
    <row r="243" spans="1:8">
      <c r="A243" s="25" t="s">
        <v>672</v>
      </c>
      <c r="B243" s="25" t="s">
        <v>673</v>
      </c>
      <c r="C243" s="25" t="s">
        <v>156</v>
      </c>
      <c r="D243" s="25" t="s">
        <v>169</v>
      </c>
      <c r="E243" s="25" t="s">
        <v>2169</v>
      </c>
      <c r="F243" s="26">
        <v>559858.65</v>
      </c>
      <c r="G243" s="15">
        <f t="shared" si="3"/>
        <v>559859</v>
      </c>
    </row>
    <row r="244" spans="1:8">
      <c r="A244" s="25" t="s">
        <v>675</v>
      </c>
      <c r="B244" s="25" t="s">
        <v>676</v>
      </c>
      <c r="C244" s="25" t="s">
        <v>156</v>
      </c>
      <c r="D244" s="25" t="s">
        <v>157</v>
      </c>
      <c r="E244" s="25" t="s">
        <v>100</v>
      </c>
      <c r="F244" s="26">
        <v>0</v>
      </c>
      <c r="G244" s="15">
        <f t="shared" si="3"/>
        <v>0</v>
      </c>
    </row>
    <row r="245" spans="1:8">
      <c r="A245" s="25" t="s">
        <v>677</v>
      </c>
      <c r="B245" s="25" t="s">
        <v>678</v>
      </c>
      <c r="C245" s="25" t="s">
        <v>156</v>
      </c>
      <c r="D245" s="25" t="s">
        <v>162</v>
      </c>
      <c r="E245" s="25" t="s">
        <v>100</v>
      </c>
      <c r="F245" s="26">
        <v>28141.51</v>
      </c>
      <c r="G245" s="15">
        <f t="shared" si="3"/>
        <v>28142</v>
      </c>
      <c r="H245" s="28">
        <v>13230</v>
      </c>
    </row>
    <row r="246" spans="1:8">
      <c r="A246" s="25" t="s">
        <v>679</v>
      </c>
      <c r="B246" s="25" t="s">
        <v>680</v>
      </c>
      <c r="C246" s="25" t="s">
        <v>156</v>
      </c>
      <c r="D246" s="25" t="s">
        <v>162</v>
      </c>
      <c r="E246" s="25" t="s">
        <v>100</v>
      </c>
      <c r="F246" s="26">
        <v>3807</v>
      </c>
      <c r="G246" s="15">
        <f t="shared" si="3"/>
        <v>3807</v>
      </c>
    </row>
    <row r="247" spans="1:8">
      <c r="A247" s="25" t="s">
        <v>681</v>
      </c>
      <c r="B247" s="25" t="s">
        <v>682</v>
      </c>
      <c r="C247" s="25" t="s">
        <v>156</v>
      </c>
      <c r="D247" s="25" t="s">
        <v>169</v>
      </c>
      <c r="E247" s="25" t="s">
        <v>683</v>
      </c>
      <c r="F247" s="26">
        <v>31948.51</v>
      </c>
      <c r="G247" s="15">
        <f t="shared" si="3"/>
        <v>31949</v>
      </c>
    </row>
    <row r="248" spans="1:8">
      <c r="A248" s="25" t="s">
        <v>684</v>
      </c>
      <c r="B248" s="25" t="s">
        <v>685</v>
      </c>
      <c r="C248" s="25" t="s">
        <v>156</v>
      </c>
      <c r="D248" s="25" t="s">
        <v>157</v>
      </c>
      <c r="E248" s="25" t="s">
        <v>100</v>
      </c>
      <c r="F248" s="26">
        <v>0</v>
      </c>
      <c r="G248" s="15">
        <f t="shared" si="3"/>
        <v>0</v>
      </c>
    </row>
    <row r="249" spans="1:8">
      <c r="A249" s="25" t="s">
        <v>686</v>
      </c>
      <c r="B249" s="25" t="s">
        <v>687</v>
      </c>
      <c r="C249" s="25" t="s">
        <v>156</v>
      </c>
      <c r="D249" s="25" t="s">
        <v>162</v>
      </c>
      <c r="E249" s="25" t="s">
        <v>100</v>
      </c>
      <c r="F249" s="26">
        <v>212384.26</v>
      </c>
      <c r="G249" s="15">
        <f t="shared" si="3"/>
        <v>212384</v>
      </c>
    </row>
    <row r="250" spans="1:8">
      <c r="A250" s="25" t="s">
        <v>688</v>
      </c>
      <c r="B250" s="25" t="s">
        <v>689</v>
      </c>
      <c r="C250" s="25" t="s">
        <v>156</v>
      </c>
      <c r="D250" s="25" t="s">
        <v>162</v>
      </c>
      <c r="E250" s="25" t="s">
        <v>100</v>
      </c>
      <c r="F250" s="26">
        <v>383</v>
      </c>
      <c r="G250" s="15">
        <f t="shared" si="3"/>
        <v>383</v>
      </c>
    </row>
    <row r="251" spans="1:8">
      <c r="A251" s="25" t="s">
        <v>690</v>
      </c>
      <c r="B251" s="25" t="s">
        <v>691</v>
      </c>
      <c r="C251" s="25" t="s">
        <v>156</v>
      </c>
      <c r="D251" s="25" t="s">
        <v>162</v>
      </c>
      <c r="E251" s="25" t="s">
        <v>100</v>
      </c>
      <c r="F251" s="26">
        <v>34479.9</v>
      </c>
      <c r="G251" s="15">
        <f t="shared" si="3"/>
        <v>34480</v>
      </c>
    </row>
    <row r="252" spans="1:8">
      <c r="A252" s="25" t="s">
        <v>692</v>
      </c>
      <c r="B252" s="25" t="s">
        <v>693</v>
      </c>
      <c r="C252" s="25" t="s">
        <v>156</v>
      </c>
      <c r="D252" s="25" t="s">
        <v>162</v>
      </c>
      <c r="E252" s="25" t="s">
        <v>100</v>
      </c>
      <c r="F252" s="26">
        <v>13116.3</v>
      </c>
      <c r="G252" s="15">
        <f t="shared" si="3"/>
        <v>13116</v>
      </c>
    </row>
    <row r="253" spans="1:8">
      <c r="A253" s="25" t="s">
        <v>694</v>
      </c>
      <c r="B253" s="25" t="s">
        <v>695</v>
      </c>
      <c r="C253" s="25" t="s">
        <v>156</v>
      </c>
      <c r="D253" s="25" t="s">
        <v>162</v>
      </c>
      <c r="E253" s="25" t="s">
        <v>100</v>
      </c>
      <c r="F253" s="26">
        <v>37864.21</v>
      </c>
      <c r="G253" s="15">
        <f t="shared" si="3"/>
        <v>37864</v>
      </c>
    </row>
    <row r="254" spans="1:8">
      <c r="A254" s="25" t="s">
        <v>696</v>
      </c>
      <c r="B254" s="25" t="s">
        <v>697</v>
      </c>
      <c r="C254" s="25" t="s">
        <v>156</v>
      </c>
      <c r="D254" s="25" t="s">
        <v>169</v>
      </c>
      <c r="E254" s="25" t="s">
        <v>698</v>
      </c>
      <c r="F254" s="26">
        <v>298227.67</v>
      </c>
      <c r="G254" s="15">
        <f t="shared" si="3"/>
        <v>298228</v>
      </c>
    </row>
    <row r="255" spans="1:8">
      <c r="A255" s="25" t="s">
        <v>699</v>
      </c>
      <c r="B255" s="25" t="s">
        <v>700</v>
      </c>
      <c r="C255" s="25" t="s">
        <v>156</v>
      </c>
      <c r="D255" s="25" t="s">
        <v>157</v>
      </c>
      <c r="E255" s="25" t="s">
        <v>100</v>
      </c>
      <c r="F255" s="26">
        <v>0</v>
      </c>
      <c r="G255" s="15">
        <f t="shared" si="3"/>
        <v>0</v>
      </c>
    </row>
    <row r="256" spans="1:8">
      <c r="A256" s="25" t="s">
        <v>701</v>
      </c>
      <c r="B256" s="25" t="s">
        <v>702</v>
      </c>
      <c r="C256" s="25" t="s">
        <v>156</v>
      </c>
      <c r="D256" s="25" t="s">
        <v>162</v>
      </c>
      <c r="E256" s="25" t="s">
        <v>100</v>
      </c>
      <c r="F256" s="26">
        <v>-664700</v>
      </c>
      <c r="G256" s="15">
        <f t="shared" si="3"/>
        <v>-664700</v>
      </c>
      <c r="H256" s="28">
        <v>-50812</v>
      </c>
    </row>
    <row r="257" spans="1:8">
      <c r="A257" s="25" t="s">
        <v>703</v>
      </c>
      <c r="B257" s="25" t="s">
        <v>704</v>
      </c>
      <c r="C257" s="25" t="s">
        <v>156</v>
      </c>
      <c r="D257" s="25" t="s">
        <v>162</v>
      </c>
      <c r="E257" s="25" t="s">
        <v>100</v>
      </c>
      <c r="F257" s="26">
        <v>95438.2</v>
      </c>
      <c r="G257" s="15">
        <f t="shared" si="3"/>
        <v>95438</v>
      </c>
    </row>
    <row r="258" spans="1:8">
      <c r="A258" s="25" t="s">
        <v>705</v>
      </c>
      <c r="B258" s="25" t="s">
        <v>664</v>
      </c>
      <c r="C258" s="25" t="s">
        <v>156</v>
      </c>
      <c r="D258" s="25" t="s">
        <v>162</v>
      </c>
      <c r="E258" s="25" t="s">
        <v>100</v>
      </c>
      <c r="F258" s="26">
        <v>518530.25</v>
      </c>
      <c r="G258" s="15">
        <f t="shared" si="3"/>
        <v>518530</v>
      </c>
      <c r="H258" s="28">
        <v>345</v>
      </c>
    </row>
    <row r="259" spans="1:8">
      <c r="A259" s="25" t="s">
        <v>706</v>
      </c>
      <c r="B259" s="25" t="s">
        <v>707</v>
      </c>
      <c r="C259" s="25" t="s">
        <v>156</v>
      </c>
      <c r="D259" s="25" t="s">
        <v>162</v>
      </c>
      <c r="E259" s="25" t="s">
        <v>100</v>
      </c>
      <c r="F259" s="26">
        <v>125375.95</v>
      </c>
      <c r="G259" s="15">
        <f t="shared" si="3"/>
        <v>125376</v>
      </c>
    </row>
    <row r="260" spans="1:8">
      <c r="A260" s="25" t="s">
        <v>708</v>
      </c>
      <c r="B260" s="25" t="s">
        <v>709</v>
      </c>
      <c r="C260" s="25" t="s">
        <v>156</v>
      </c>
      <c r="D260" s="25" t="s">
        <v>162</v>
      </c>
      <c r="E260" s="25" t="s">
        <v>100</v>
      </c>
      <c r="F260" s="26">
        <v>35326.42</v>
      </c>
      <c r="G260" s="15">
        <f t="shared" si="3"/>
        <v>35326</v>
      </c>
      <c r="H260" s="28">
        <f>420+420+752+1460</f>
        <v>3052</v>
      </c>
    </row>
    <row r="261" spans="1:8">
      <c r="A261" s="25" t="s">
        <v>710</v>
      </c>
      <c r="B261" s="25" t="s">
        <v>711</v>
      </c>
      <c r="C261" s="25" t="s">
        <v>156</v>
      </c>
      <c r="D261" s="25" t="s">
        <v>162</v>
      </c>
      <c r="E261" s="25" t="s">
        <v>100</v>
      </c>
      <c r="F261" s="26">
        <v>102947.04</v>
      </c>
      <c r="G261" s="15">
        <f t="shared" ref="G261:G324" si="4">ROUND(F261,0)</f>
        <v>102947</v>
      </c>
    </row>
    <row r="262" spans="1:8">
      <c r="A262" s="25" t="s">
        <v>712</v>
      </c>
      <c r="B262" s="25" t="s">
        <v>713</v>
      </c>
      <c r="C262" s="25" t="s">
        <v>156</v>
      </c>
      <c r="D262" s="25" t="s">
        <v>169</v>
      </c>
      <c r="E262" s="25" t="s">
        <v>714</v>
      </c>
      <c r="F262" s="26">
        <v>212917.86</v>
      </c>
      <c r="G262" s="15">
        <f t="shared" si="4"/>
        <v>212918</v>
      </c>
      <c r="H262" s="28">
        <v>2790</v>
      </c>
    </row>
    <row r="263" spans="1:8">
      <c r="A263" s="25" t="s">
        <v>715</v>
      </c>
      <c r="B263" s="25" t="s">
        <v>716</v>
      </c>
      <c r="C263" s="25" t="s">
        <v>156</v>
      </c>
      <c r="D263" s="25" t="s">
        <v>169</v>
      </c>
      <c r="E263" s="25" t="s">
        <v>717</v>
      </c>
      <c r="F263" s="26">
        <v>1102952.69</v>
      </c>
      <c r="G263" s="15">
        <f t="shared" si="4"/>
        <v>1102953</v>
      </c>
    </row>
    <row r="264" spans="1:8">
      <c r="A264" s="25" t="s">
        <v>718</v>
      </c>
      <c r="B264" s="25" t="s">
        <v>719</v>
      </c>
      <c r="C264" s="25" t="s">
        <v>156</v>
      </c>
      <c r="D264" s="25" t="s">
        <v>157</v>
      </c>
      <c r="E264" s="25" t="s">
        <v>100</v>
      </c>
      <c r="F264" s="26">
        <v>0</v>
      </c>
      <c r="G264" s="15">
        <f t="shared" si="4"/>
        <v>0</v>
      </c>
    </row>
    <row r="265" spans="1:8">
      <c r="A265" s="25" t="s">
        <v>720</v>
      </c>
      <c r="B265" s="25" t="s">
        <v>721</v>
      </c>
      <c r="C265" s="25" t="s">
        <v>156</v>
      </c>
      <c r="D265" s="25" t="s">
        <v>157</v>
      </c>
      <c r="E265" s="25" t="s">
        <v>100</v>
      </c>
      <c r="F265" s="26">
        <v>0</v>
      </c>
      <c r="G265" s="15">
        <f t="shared" si="4"/>
        <v>0</v>
      </c>
    </row>
    <row r="266" spans="1:8">
      <c r="A266" s="25" t="s">
        <v>722</v>
      </c>
      <c r="B266" s="25" t="s">
        <v>723</v>
      </c>
      <c r="C266" s="25" t="s">
        <v>156</v>
      </c>
      <c r="D266" s="25" t="s">
        <v>162</v>
      </c>
      <c r="E266" s="25" t="s">
        <v>100</v>
      </c>
      <c r="F266" s="26">
        <v>-71985.31</v>
      </c>
      <c r="G266" s="16">
        <f t="shared" si="4"/>
        <v>-71985</v>
      </c>
    </row>
    <row r="267" spans="1:8">
      <c r="A267" s="25" t="s">
        <v>726</v>
      </c>
      <c r="B267" s="25" t="s">
        <v>757</v>
      </c>
      <c r="C267" s="25" t="s">
        <v>156</v>
      </c>
      <c r="D267" s="25" t="s">
        <v>162</v>
      </c>
      <c r="E267" s="25" t="s">
        <v>100</v>
      </c>
      <c r="F267" s="26">
        <v>-38290.400000000001</v>
      </c>
      <c r="G267" s="15">
        <f t="shared" si="4"/>
        <v>-38290</v>
      </c>
    </row>
    <row r="268" spans="1:8">
      <c r="A268" s="25" t="s">
        <v>728</v>
      </c>
      <c r="B268" s="25" t="s">
        <v>2276</v>
      </c>
      <c r="C268" s="25" t="s">
        <v>156</v>
      </c>
      <c r="D268" s="25" t="s">
        <v>162</v>
      </c>
      <c r="E268" s="25" t="s">
        <v>100</v>
      </c>
      <c r="F268" s="26">
        <v>-1252</v>
      </c>
      <c r="G268" s="16">
        <f t="shared" si="4"/>
        <v>-1252</v>
      </c>
    </row>
    <row r="269" spans="1:8">
      <c r="A269" s="25" t="s">
        <v>730</v>
      </c>
      <c r="B269" s="25" t="s">
        <v>731</v>
      </c>
      <c r="C269" s="25" t="s">
        <v>156</v>
      </c>
      <c r="D269" s="25" t="s">
        <v>162</v>
      </c>
      <c r="E269" s="25" t="s">
        <v>100</v>
      </c>
      <c r="F269" s="26">
        <v>186125.02</v>
      </c>
      <c r="G269" s="16">
        <f t="shared" si="4"/>
        <v>186125</v>
      </c>
      <c r="H269" s="28">
        <f>-171133+31523</f>
        <v>-139610</v>
      </c>
    </row>
    <row r="270" spans="1:8">
      <c r="A270" s="25" t="s">
        <v>732</v>
      </c>
      <c r="B270" s="25" t="s">
        <v>733</v>
      </c>
      <c r="C270" s="25" t="s">
        <v>156</v>
      </c>
      <c r="D270" s="25" t="s">
        <v>162</v>
      </c>
      <c r="E270" s="25" t="s">
        <v>100</v>
      </c>
      <c r="F270" s="26">
        <v>823457.08</v>
      </c>
      <c r="G270" s="16">
        <f t="shared" si="4"/>
        <v>823457</v>
      </c>
    </row>
    <row r="271" spans="1:8">
      <c r="A271" s="25" t="s">
        <v>734</v>
      </c>
      <c r="B271" s="25" t="s">
        <v>735</v>
      </c>
      <c r="C271" s="25" t="s">
        <v>156</v>
      </c>
      <c r="D271" s="25" t="s">
        <v>162</v>
      </c>
      <c r="E271" s="25" t="s">
        <v>100</v>
      </c>
      <c r="F271" s="26">
        <v>180920.48</v>
      </c>
      <c r="G271" s="16">
        <f t="shared" si="4"/>
        <v>180920</v>
      </c>
    </row>
    <row r="272" spans="1:8">
      <c r="A272" s="25" t="s">
        <v>736</v>
      </c>
      <c r="B272" s="25" t="s">
        <v>737</v>
      </c>
      <c r="C272" s="25" t="s">
        <v>156</v>
      </c>
      <c r="D272" s="25" t="s">
        <v>162</v>
      </c>
      <c r="E272" s="25" t="s">
        <v>100</v>
      </c>
      <c r="F272" s="26">
        <v>74846.740000000005</v>
      </c>
      <c r="G272" s="16">
        <f t="shared" si="4"/>
        <v>74847</v>
      </c>
    </row>
    <row r="273" spans="1:8">
      <c r="A273" s="25" t="s">
        <v>738</v>
      </c>
      <c r="B273" s="25" t="s">
        <v>739</v>
      </c>
      <c r="C273" s="25" t="s">
        <v>156</v>
      </c>
      <c r="D273" s="25" t="s">
        <v>162</v>
      </c>
      <c r="E273" s="25" t="s">
        <v>100</v>
      </c>
      <c r="F273" s="26">
        <v>3051</v>
      </c>
      <c r="G273" s="16">
        <f t="shared" si="4"/>
        <v>3051</v>
      </c>
    </row>
    <row r="274" spans="1:8">
      <c r="A274" s="25" t="s">
        <v>740</v>
      </c>
      <c r="B274" s="25" t="s">
        <v>741</v>
      </c>
      <c r="C274" s="25" t="s">
        <v>156</v>
      </c>
      <c r="D274" s="25" t="s">
        <v>162</v>
      </c>
      <c r="E274" s="25" t="s">
        <v>100</v>
      </c>
      <c r="F274" s="26">
        <v>13601.96</v>
      </c>
      <c r="G274" s="16">
        <f t="shared" si="4"/>
        <v>13602</v>
      </c>
    </row>
    <row r="275" spans="1:8">
      <c r="A275" s="25" t="s">
        <v>742</v>
      </c>
      <c r="B275" s="25" t="s">
        <v>743</v>
      </c>
      <c r="C275" s="25" t="s">
        <v>156</v>
      </c>
      <c r="D275" s="25" t="s">
        <v>162</v>
      </c>
      <c r="E275" s="25" t="s">
        <v>100</v>
      </c>
      <c r="F275" s="26">
        <v>230</v>
      </c>
      <c r="G275" s="16">
        <f t="shared" si="4"/>
        <v>230</v>
      </c>
    </row>
    <row r="276" spans="1:8">
      <c r="A276" s="25" t="s">
        <v>744</v>
      </c>
      <c r="B276" s="25" t="s">
        <v>2302</v>
      </c>
      <c r="C276" s="25" t="s">
        <v>156</v>
      </c>
      <c r="D276" s="25" t="s">
        <v>162</v>
      </c>
      <c r="E276" s="25" t="s">
        <v>100</v>
      </c>
      <c r="F276" s="26">
        <v>150627.84</v>
      </c>
      <c r="G276" s="16">
        <f t="shared" si="4"/>
        <v>150628</v>
      </c>
    </row>
    <row r="277" spans="1:8">
      <c r="A277" s="25" t="s">
        <v>745</v>
      </c>
      <c r="B277" s="25" t="s">
        <v>2200</v>
      </c>
      <c r="C277" s="25" t="s">
        <v>156</v>
      </c>
      <c r="D277" s="25" t="s">
        <v>162</v>
      </c>
      <c r="E277" s="25" t="s">
        <v>100</v>
      </c>
      <c r="F277" s="26">
        <v>0</v>
      </c>
      <c r="G277" s="15">
        <f t="shared" si="4"/>
        <v>0</v>
      </c>
    </row>
    <row r="278" spans="1:8">
      <c r="A278" s="25" t="s">
        <v>747</v>
      </c>
      <c r="B278" s="25" t="s">
        <v>748</v>
      </c>
      <c r="C278" s="25" t="s">
        <v>156</v>
      </c>
      <c r="D278" s="25" t="s">
        <v>162</v>
      </c>
      <c r="E278" s="25" t="s">
        <v>100</v>
      </c>
      <c r="F278" s="26">
        <v>147500</v>
      </c>
      <c r="G278" s="16">
        <f t="shared" si="4"/>
        <v>147500</v>
      </c>
      <c r="H278" s="28">
        <v>-50000</v>
      </c>
    </row>
    <row r="279" spans="1:8">
      <c r="A279" s="25" t="s">
        <v>749</v>
      </c>
      <c r="B279" s="25" t="s">
        <v>2201</v>
      </c>
      <c r="C279" s="25" t="s">
        <v>156</v>
      </c>
      <c r="D279" s="25" t="s">
        <v>162</v>
      </c>
      <c r="E279" s="25" t="s">
        <v>100</v>
      </c>
      <c r="F279" s="26">
        <v>2145144.9</v>
      </c>
      <c r="G279" s="16">
        <f t="shared" si="4"/>
        <v>2145145</v>
      </c>
      <c r="H279" s="28">
        <v>920000</v>
      </c>
    </row>
    <row r="280" spans="1:8">
      <c r="A280" s="25" t="s">
        <v>751</v>
      </c>
      <c r="B280" s="25" t="s">
        <v>752</v>
      </c>
      <c r="C280" s="25" t="s">
        <v>156</v>
      </c>
      <c r="D280" s="25" t="s">
        <v>162</v>
      </c>
      <c r="E280" s="25" t="s">
        <v>100</v>
      </c>
      <c r="F280" s="26">
        <v>4444.17</v>
      </c>
      <c r="G280" s="16">
        <f t="shared" si="4"/>
        <v>4444</v>
      </c>
    </row>
    <row r="281" spans="1:8">
      <c r="A281" s="25" t="s">
        <v>753</v>
      </c>
      <c r="B281" s="25" t="s">
        <v>220</v>
      </c>
      <c r="C281" s="25" t="s">
        <v>156</v>
      </c>
      <c r="D281" s="25" t="s">
        <v>162</v>
      </c>
      <c r="E281" s="25" t="s">
        <v>100</v>
      </c>
      <c r="F281" s="26">
        <v>12879.51</v>
      </c>
      <c r="G281" s="15">
        <f t="shared" si="4"/>
        <v>12880</v>
      </c>
    </row>
    <row r="282" spans="1:8">
      <c r="A282" s="25" t="s">
        <v>754</v>
      </c>
      <c r="B282" s="25" t="s">
        <v>755</v>
      </c>
      <c r="C282" s="25" t="s">
        <v>156</v>
      </c>
      <c r="D282" s="25" t="s">
        <v>162</v>
      </c>
      <c r="E282" s="25" t="s">
        <v>100</v>
      </c>
      <c r="F282" s="26">
        <v>-128.66</v>
      </c>
      <c r="G282" s="15">
        <f t="shared" si="4"/>
        <v>-129</v>
      </c>
    </row>
    <row r="283" spans="1:8">
      <c r="A283" s="25" t="s">
        <v>756</v>
      </c>
      <c r="B283" s="25" t="s">
        <v>1533</v>
      </c>
      <c r="C283" s="25" t="s">
        <v>156</v>
      </c>
      <c r="D283" s="25" t="s">
        <v>162</v>
      </c>
      <c r="E283" s="25" t="s">
        <v>100</v>
      </c>
      <c r="F283" s="26">
        <v>-32942.78</v>
      </c>
      <c r="G283" s="15">
        <f t="shared" si="4"/>
        <v>-32943</v>
      </c>
    </row>
    <row r="284" spans="1:8">
      <c r="A284" s="25" t="s">
        <v>758</v>
      </c>
      <c r="B284" s="25" t="s">
        <v>759</v>
      </c>
      <c r="C284" s="25" t="s">
        <v>156</v>
      </c>
      <c r="D284" s="25" t="s">
        <v>169</v>
      </c>
      <c r="E284" s="25" t="s">
        <v>760</v>
      </c>
      <c r="F284" s="26">
        <v>3598229.55</v>
      </c>
      <c r="G284" s="15">
        <f t="shared" si="4"/>
        <v>3598230</v>
      </c>
    </row>
    <row r="285" spans="1:8">
      <c r="A285" s="25" t="s">
        <v>761</v>
      </c>
      <c r="B285" s="25" t="s">
        <v>762</v>
      </c>
      <c r="C285" s="25" t="s">
        <v>156</v>
      </c>
      <c r="D285" s="25" t="s">
        <v>157</v>
      </c>
      <c r="E285" s="25" t="s">
        <v>100</v>
      </c>
      <c r="F285" s="26">
        <v>0</v>
      </c>
      <c r="G285" s="15">
        <f t="shared" si="4"/>
        <v>0</v>
      </c>
    </row>
    <row r="286" spans="1:8">
      <c r="A286" s="25" t="s">
        <v>763</v>
      </c>
      <c r="B286" s="25" t="s">
        <v>764</v>
      </c>
      <c r="C286" s="25" t="s">
        <v>156</v>
      </c>
      <c r="D286" s="25" t="s">
        <v>162</v>
      </c>
      <c r="E286" s="25" t="s">
        <v>100</v>
      </c>
      <c r="F286" s="26">
        <v>135234.42000000001</v>
      </c>
      <c r="G286" s="15">
        <f t="shared" si="4"/>
        <v>135234</v>
      </c>
      <c r="H286" s="28">
        <v>-38086</v>
      </c>
    </row>
    <row r="287" spans="1:8">
      <c r="A287" s="25" t="s">
        <v>765</v>
      </c>
      <c r="B287" s="25" t="s">
        <v>766</v>
      </c>
      <c r="C287" s="25" t="s">
        <v>156</v>
      </c>
      <c r="D287" s="25" t="s">
        <v>162</v>
      </c>
      <c r="E287" s="25" t="s">
        <v>100</v>
      </c>
      <c r="F287" s="26">
        <v>62274.5</v>
      </c>
      <c r="G287" s="15">
        <f t="shared" si="4"/>
        <v>62275</v>
      </c>
    </row>
    <row r="288" spans="1:8">
      <c r="A288" s="25" t="s">
        <v>767</v>
      </c>
      <c r="B288" s="25" t="s">
        <v>768</v>
      </c>
      <c r="C288" s="25" t="s">
        <v>156</v>
      </c>
      <c r="D288" s="25" t="s">
        <v>162</v>
      </c>
      <c r="E288" s="25" t="s">
        <v>100</v>
      </c>
      <c r="F288" s="26">
        <v>74430.61</v>
      </c>
      <c r="G288" s="15">
        <f t="shared" si="4"/>
        <v>74431</v>
      </c>
    </row>
    <row r="289" spans="1:8">
      <c r="A289" s="25" t="s">
        <v>769</v>
      </c>
      <c r="B289" s="25" t="s">
        <v>770</v>
      </c>
      <c r="C289" s="25" t="s">
        <v>156</v>
      </c>
      <c r="D289" s="25" t="s">
        <v>162</v>
      </c>
      <c r="E289" s="25" t="s">
        <v>100</v>
      </c>
      <c r="F289" s="26">
        <v>16017.75</v>
      </c>
      <c r="G289" s="15">
        <f t="shared" si="4"/>
        <v>16018</v>
      </c>
    </row>
    <row r="290" spans="1:8">
      <c r="A290" s="25" t="s">
        <v>771</v>
      </c>
      <c r="B290" s="25" t="s">
        <v>2277</v>
      </c>
      <c r="C290" s="25" t="s">
        <v>156</v>
      </c>
      <c r="D290" s="25" t="s">
        <v>162</v>
      </c>
      <c r="E290" s="25" t="s">
        <v>100</v>
      </c>
      <c r="F290" s="26">
        <v>0</v>
      </c>
      <c r="G290" s="15">
        <f t="shared" si="4"/>
        <v>0</v>
      </c>
    </row>
    <row r="291" spans="1:8">
      <c r="A291" s="25" t="s">
        <v>773</v>
      </c>
      <c r="B291" s="25" t="s">
        <v>774</v>
      </c>
      <c r="C291" s="25" t="s">
        <v>156</v>
      </c>
      <c r="D291" s="25" t="s">
        <v>162</v>
      </c>
      <c r="E291" s="25" t="s">
        <v>100</v>
      </c>
      <c r="F291" s="26">
        <v>0</v>
      </c>
      <c r="G291" s="15">
        <f t="shared" si="4"/>
        <v>0</v>
      </c>
    </row>
    <row r="292" spans="1:8">
      <c r="A292" s="25" t="s">
        <v>775</v>
      </c>
      <c r="B292" s="25" t="s">
        <v>776</v>
      </c>
      <c r="C292" s="25" t="s">
        <v>156</v>
      </c>
      <c r="D292" s="25" t="s">
        <v>169</v>
      </c>
      <c r="E292" s="25" t="s">
        <v>777</v>
      </c>
      <c r="F292" s="26">
        <v>287957.28000000003</v>
      </c>
      <c r="G292" s="15">
        <f t="shared" si="4"/>
        <v>287957</v>
      </c>
    </row>
    <row r="293" spans="1:8">
      <c r="A293" s="25" t="s">
        <v>778</v>
      </c>
      <c r="B293" s="25" t="s">
        <v>779</v>
      </c>
      <c r="C293" s="25" t="s">
        <v>156</v>
      </c>
      <c r="D293" s="25" t="s">
        <v>157</v>
      </c>
      <c r="E293" s="25" t="s">
        <v>100</v>
      </c>
      <c r="F293" s="26">
        <v>0</v>
      </c>
      <c r="G293" s="15">
        <f t="shared" si="4"/>
        <v>0</v>
      </c>
    </row>
    <row r="294" spans="1:8">
      <c r="A294" s="25" t="s">
        <v>780</v>
      </c>
      <c r="B294" s="25" t="s">
        <v>781</v>
      </c>
      <c r="C294" s="25" t="s">
        <v>156</v>
      </c>
      <c r="D294" s="25" t="s">
        <v>162</v>
      </c>
      <c r="E294" s="25" t="s">
        <v>100</v>
      </c>
      <c r="F294" s="26">
        <v>84321</v>
      </c>
      <c r="G294" s="15">
        <f t="shared" si="4"/>
        <v>84321</v>
      </c>
    </row>
    <row r="295" spans="1:8">
      <c r="A295" s="25" t="s">
        <v>782</v>
      </c>
      <c r="B295" s="25" t="s">
        <v>446</v>
      </c>
      <c r="C295" s="25" t="s">
        <v>156</v>
      </c>
      <c r="D295" s="25" t="s">
        <v>162</v>
      </c>
      <c r="E295" s="25" t="s">
        <v>100</v>
      </c>
      <c r="F295" s="26">
        <v>64008.5</v>
      </c>
      <c r="G295" s="15">
        <f t="shared" si="4"/>
        <v>64009</v>
      </c>
    </row>
    <row r="296" spans="1:8">
      <c r="A296" s="25" t="s">
        <v>783</v>
      </c>
      <c r="B296" s="25" t="s">
        <v>784</v>
      </c>
      <c r="C296" s="25" t="s">
        <v>156</v>
      </c>
      <c r="D296" s="25" t="s">
        <v>162</v>
      </c>
      <c r="E296" s="25" t="s">
        <v>100</v>
      </c>
      <c r="F296" s="26">
        <v>55444</v>
      </c>
      <c r="G296" s="15">
        <f t="shared" si="4"/>
        <v>55444</v>
      </c>
    </row>
    <row r="297" spans="1:8">
      <c r="A297" s="25" t="s">
        <v>785</v>
      </c>
      <c r="B297" s="25" t="s">
        <v>786</v>
      </c>
      <c r="C297" s="25" t="s">
        <v>156</v>
      </c>
      <c r="D297" s="25" t="s">
        <v>169</v>
      </c>
      <c r="E297" s="25" t="s">
        <v>787</v>
      </c>
      <c r="F297" s="26">
        <v>203773.5</v>
      </c>
      <c r="G297" s="15">
        <f t="shared" si="4"/>
        <v>203774</v>
      </c>
    </row>
    <row r="298" spans="1:8">
      <c r="A298" s="25" t="s">
        <v>788</v>
      </c>
      <c r="B298" s="25" t="s">
        <v>817</v>
      </c>
      <c r="C298" s="25" t="s">
        <v>156</v>
      </c>
      <c r="D298" s="25" t="s">
        <v>157</v>
      </c>
      <c r="E298" s="25" t="s">
        <v>100</v>
      </c>
      <c r="F298" s="26">
        <v>0</v>
      </c>
      <c r="G298" s="15">
        <f t="shared" si="4"/>
        <v>0</v>
      </c>
    </row>
    <row r="299" spans="1:8">
      <c r="A299" s="25" t="s">
        <v>2258</v>
      </c>
      <c r="B299" s="25" t="s">
        <v>819</v>
      </c>
      <c r="C299" s="25" t="s">
        <v>156</v>
      </c>
      <c r="D299" s="25" t="s">
        <v>162</v>
      </c>
      <c r="E299" s="25" t="s">
        <v>100</v>
      </c>
      <c r="F299" s="26">
        <v>0</v>
      </c>
      <c r="G299" s="15">
        <f t="shared" si="4"/>
        <v>0</v>
      </c>
      <c r="H299" s="28">
        <v>50000</v>
      </c>
    </row>
    <row r="300" spans="1:8">
      <c r="A300" s="25" t="s">
        <v>2259</v>
      </c>
      <c r="B300" s="25" t="s">
        <v>821</v>
      </c>
      <c r="C300" s="25" t="s">
        <v>156</v>
      </c>
      <c r="D300" s="25" t="s">
        <v>169</v>
      </c>
      <c r="E300" s="25" t="s">
        <v>2260</v>
      </c>
      <c r="F300" s="26">
        <v>0</v>
      </c>
      <c r="G300" s="15">
        <f t="shared" si="4"/>
        <v>0</v>
      </c>
    </row>
    <row r="301" spans="1:8">
      <c r="A301" s="25" t="s">
        <v>790</v>
      </c>
      <c r="B301" s="25" t="s">
        <v>824</v>
      </c>
      <c r="C301" s="25" t="s">
        <v>156</v>
      </c>
      <c r="D301" s="25" t="s">
        <v>157</v>
      </c>
      <c r="E301" s="25" t="s">
        <v>100</v>
      </c>
      <c r="F301" s="26">
        <v>0</v>
      </c>
      <c r="G301" s="15">
        <f t="shared" si="4"/>
        <v>0</v>
      </c>
    </row>
    <row r="302" spans="1:8">
      <c r="A302" s="25" t="s">
        <v>791</v>
      </c>
      <c r="B302" s="25" t="s">
        <v>826</v>
      </c>
      <c r="C302" s="25" t="s">
        <v>156</v>
      </c>
      <c r="D302" s="25" t="s">
        <v>162</v>
      </c>
      <c r="E302" s="25" t="s">
        <v>100</v>
      </c>
      <c r="F302" s="26">
        <v>45348.3</v>
      </c>
      <c r="G302" s="15">
        <f t="shared" si="4"/>
        <v>45348</v>
      </c>
    </row>
    <row r="303" spans="1:8">
      <c r="A303" s="25" t="s">
        <v>805</v>
      </c>
      <c r="B303" s="25" t="s">
        <v>828</v>
      </c>
      <c r="C303" s="25" t="s">
        <v>156</v>
      </c>
      <c r="D303" s="25" t="s">
        <v>169</v>
      </c>
      <c r="E303" s="25" t="s">
        <v>807</v>
      </c>
      <c r="F303" s="26">
        <v>45348.3</v>
      </c>
      <c r="G303" s="15">
        <f t="shared" si="4"/>
        <v>45348</v>
      </c>
    </row>
    <row r="304" spans="1:8">
      <c r="A304" s="25" t="s">
        <v>830</v>
      </c>
      <c r="B304" s="25" t="s">
        <v>831</v>
      </c>
      <c r="C304" s="25" t="s">
        <v>156</v>
      </c>
      <c r="D304" s="25" t="s">
        <v>169</v>
      </c>
      <c r="E304" s="25" t="s">
        <v>832</v>
      </c>
      <c r="F304" s="26">
        <v>4135308.63</v>
      </c>
      <c r="G304" s="15">
        <f t="shared" si="4"/>
        <v>4135309</v>
      </c>
    </row>
    <row r="305" spans="1:8">
      <c r="A305" s="25" t="s">
        <v>841</v>
      </c>
      <c r="B305" s="25" t="s">
        <v>842</v>
      </c>
      <c r="C305" s="25" t="s">
        <v>156</v>
      </c>
      <c r="D305" s="25" t="s">
        <v>169</v>
      </c>
      <c r="E305" s="25" t="s">
        <v>843</v>
      </c>
      <c r="F305" s="26">
        <v>20530607.850000001</v>
      </c>
      <c r="G305" s="15">
        <f t="shared" si="4"/>
        <v>20530608</v>
      </c>
    </row>
    <row r="306" spans="1:8">
      <c r="A306" s="25" t="s">
        <v>2261</v>
      </c>
      <c r="B306" s="25" t="s">
        <v>2262</v>
      </c>
      <c r="C306" s="25" t="s">
        <v>156</v>
      </c>
      <c r="D306" s="25" t="s">
        <v>169</v>
      </c>
      <c r="E306" s="25" t="s">
        <v>2263</v>
      </c>
      <c r="F306" s="26">
        <v>20530607.850000001</v>
      </c>
      <c r="G306" s="15">
        <f t="shared" si="4"/>
        <v>20530608</v>
      </c>
    </row>
    <row r="307" spans="1:8">
      <c r="A307" s="25" t="s">
        <v>844</v>
      </c>
      <c r="B307" s="25" t="s">
        <v>845</v>
      </c>
      <c r="C307" s="25" t="s">
        <v>156</v>
      </c>
      <c r="D307" s="25" t="s">
        <v>157</v>
      </c>
      <c r="E307" s="25" t="s">
        <v>100</v>
      </c>
      <c r="F307" s="26">
        <v>0</v>
      </c>
      <c r="G307" s="15">
        <f t="shared" si="4"/>
        <v>0</v>
      </c>
    </row>
    <row r="308" spans="1:8">
      <c r="A308" s="25" t="s">
        <v>846</v>
      </c>
      <c r="B308" s="25" t="s">
        <v>2319</v>
      </c>
      <c r="C308" s="25" t="s">
        <v>156</v>
      </c>
      <c r="D308" s="25" t="s">
        <v>162</v>
      </c>
      <c r="E308" s="25" t="s">
        <v>100</v>
      </c>
      <c r="F308" s="26">
        <v>110236.81</v>
      </c>
      <c r="G308" s="15">
        <f t="shared" si="4"/>
        <v>110237</v>
      </c>
    </row>
    <row r="309" spans="1:8">
      <c r="A309" s="25" t="s">
        <v>848</v>
      </c>
      <c r="B309" s="25" t="s">
        <v>849</v>
      </c>
      <c r="C309" s="25" t="s">
        <v>156</v>
      </c>
      <c r="D309" s="25" t="s">
        <v>162</v>
      </c>
      <c r="E309" s="25" t="s">
        <v>100</v>
      </c>
      <c r="F309" s="26">
        <v>32845.980000000003</v>
      </c>
      <c r="G309" s="15">
        <f t="shared" si="4"/>
        <v>32846</v>
      </c>
      <c r="H309" s="28">
        <v>22.49</v>
      </c>
    </row>
    <row r="310" spans="1:8">
      <c r="A310" s="25" t="s">
        <v>850</v>
      </c>
      <c r="B310" s="25" t="s">
        <v>851</v>
      </c>
      <c r="C310" s="25" t="s">
        <v>156</v>
      </c>
      <c r="D310" s="25" t="s">
        <v>169</v>
      </c>
      <c r="E310" s="25" t="s">
        <v>852</v>
      </c>
      <c r="F310" s="26">
        <v>143082.79</v>
      </c>
      <c r="G310" s="15">
        <f t="shared" si="4"/>
        <v>143083</v>
      </c>
    </row>
    <row r="311" spans="1:8">
      <c r="A311" s="25" t="s">
        <v>853</v>
      </c>
      <c r="B311" s="25" t="s">
        <v>854</v>
      </c>
      <c r="C311" s="25" t="s">
        <v>156</v>
      </c>
      <c r="D311" s="25" t="s">
        <v>157</v>
      </c>
      <c r="E311" s="25" t="s">
        <v>100</v>
      </c>
      <c r="F311" s="26">
        <v>0</v>
      </c>
      <c r="G311" s="15">
        <f t="shared" si="4"/>
        <v>0</v>
      </c>
    </row>
    <row r="312" spans="1:8">
      <c r="A312" s="25" t="s">
        <v>855</v>
      </c>
      <c r="B312" s="25" t="s">
        <v>856</v>
      </c>
      <c r="C312" s="25" t="s">
        <v>156</v>
      </c>
      <c r="D312" s="25" t="s">
        <v>162</v>
      </c>
      <c r="E312" s="25" t="s">
        <v>100</v>
      </c>
      <c r="F312" s="26">
        <v>0</v>
      </c>
      <c r="G312" s="15">
        <f t="shared" si="4"/>
        <v>0</v>
      </c>
    </row>
    <row r="313" spans="1:8">
      <c r="A313" s="25" t="s">
        <v>857</v>
      </c>
      <c r="B313" s="25" t="s">
        <v>2170</v>
      </c>
      <c r="C313" s="25" t="s">
        <v>156</v>
      </c>
      <c r="D313" s="25" t="s">
        <v>162</v>
      </c>
      <c r="E313" s="25" t="s">
        <v>100</v>
      </c>
      <c r="F313" s="26">
        <v>0</v>
      </c>
      <c r="G313" s="15">
        <f t="shared" si="4"/>
        <v>0</v>
      </c>
    </row>
    <row r="314" spans="1:8">
      <c r="A314" s="25" t="s">
        <v>859</v>
      </c>
      <c r="B314" s="25" t="s">
        <v>860</v>
      </c>
      <c r="C314" s="25" t="s">
        <v>156</v>
      </c>
      <c r="D314" s="25" t="s">
        <v>162</v>
      </c>
      <c r="E314" s="25" t="s">
        <v>100</v>
      </c>
      <c r="F314" s="26">
        <v>0</v>
      </c>
      <c r="G314" s="15">
        <f t="shared" si="4"/>
        <v>0</v>
      </c>
    </row>
    <row r="315" spans="1:8">
      <c r="A315" s="25" t="s">
        <v>2264</v>
      </c>
      <c r="B315" s="25" t="s">
        <v>862</v>
      </c>
      <c r="C315" s="25" t="s">
        <v>156</v>
      </c>
      <c r="D315" s="25" t="s">
        <v>169</v>
      </c>
      <c r="E315" s="25" t="s">
        <v>2265</v>
      </c>
      <c r="F315" s="26">
        <v>0</v>
      </c>
      <c r="G315" s="15">
        <f t="shared" si="4"/>
        <v>0</v>
      </c>
    </row>
    <row r="316" spans="1:8">
      <c r="A316" s="25" t="s">
        <v>861</v>
      </c>
      <c r="B316" s="25" t="s">
        <v>862</v>
      </c>
      <c r="C316" s="25" t="s">
        <v>156</v>
      </c>
      <c r="D316" s="25" t="s">
        <v>598</v>
      </c>
      <c r="E316" s="25" t="s">
        <v>863</v>
      </c>
      <c r="F316" s="26">
        <v>143082.79</v>
      </c>
      <c r="G316" s="15">
        <f t="shared" si="4"/>
        <v>143083</v>
      </c>
    </row>
    <row r="317" spans="1:8">
      <c r="A317" s="25" t="s">
        <v>864</v>
      </c>
      <c r="B317" s="25" t="s">
        <v>865</v>
      </c>
      <c r="C317" s="25" t="s">
        <v>156</v>
      </c>
      <c r="D317" s="25" t="s">
        <v>598</v>
      </c>
      <c r="E317" s="25" t="s">
        <v>866</v>
      </c>
      <c r="F317" s="26">
        <v>20673690.640000001</v>
      </c>
      <c r="G317" s="15">
        <f t="shared" si="4"/>
        <v>20673691</v>
      </c>
    </row>
    <row r="318" spans="1:8">
      <c r="A318" s="25" t="s">
        <v>867</v>
      </c>
      <c r="B318" s="25" t="s">
        <v>868</v>
      </c>
      <c r="C318" s="25" t="s">
        <v>156</v>
      </c>
      <c r="D318" s="25" t="s">
        <v>598</v>
      </c>
      <c r="E318" s="25" t="s">
        <v>869</v>
      </c>
      <c r="F318" s="26">
        <v>1979055.42</v>
      </c>
      <c r="G318" s="15">
        <f t="shared" si="4"/>
        <v>1979055</v>
      </c>
    </row>
    <row r="319" spans="1:8">
      <c r="A319" s="25" t="s">
        <v>870</v>
      </c>
      <c r="B319" s="25" t="s">
        <v>871</v>
      </c>
      <c r="C319" s="25" t="s">
        <v>872</v>
      </c>
      <c r="D319" s="25" t="s">
        <v>157</v>
      </c>
      <c r="E319" s="25" t="s">
        <v>100</v>
      </c>
      <c r="F319" s="26">
        <v>0</v>
      </c>
      <c r="G319" s="15">
        <f t="shared" si="4"/>
        <v>0</v>
      </c>
    </row>
    <row r="320" spans="1:8">
      <c r="A320" s="25" t="s">
        <v>873</v>
      </c>
      <c r="B320" s="25" t="s">
        <v>874</v>
      </c>
      <c r="C320" s="25" t="s">
        <v>872</v>
      </c>
      <c r="D320" s="25" t="s">
        <v>157</v>
      </c>
      <c r="E320" s="25" t="s">
        <v>100</v>
      </c>
      <c r="F320" s="26">
        <v>0</v>
      </c>
      <c r="G320" s="15">
        <f t="shared" si="4"/>
        <v>0</v>
      </c>
    </row>
    <row r="321" spans="1:8">
      <c r="A321" s="25" t="s">
        <v>875</v>
      </c>
      <c r="B321" s="25" t="s">
        <v>876</v>
      </c>
      <c r="C321" s="25" t="s">
        <v>872</v>
      </c>
      <c r="D321" s="25" t="s">
        <v>157</v>
      </c>
      <c r="E321" s="25" t="s">
        <v>100</v>
      </c>
      <c r="F321" s="26">
        <v>0</v>
      </c>
      <c r="G321" s="15">
        <f t="shared" si="4"/>
        <v>0</v>
      </c>
    </row>
    <row r="322" spans="1:8">
      <c r="A322" s="25" t="s">
        <v>877</v>
      </c>
      <c r="B322" s="25" t="s">
        <v>878</v>
      </c>
      <c r="C322" s="25" t="s">
        <v>872</v>
      </c>
      <c r="D322" s="25" t="s">
        <v>162</v>
      </c>
      <c r="E322" s="25" t="s">
        <v>100</v>
      </c>
      <c r="F322" s="26">
        <v>28500000</v>
      </c>
      <c r="G322" s="15">
        <f t="shared" si="4"/>
        <v>28500000</v>
      </c>
    </row>
    <row r="323" spans="1:8">
      <c r="A323" s="25" t="s">
        <v>879</v>
      </c>
      <c r="B323" s="25" t="s">
        <v>880</v>
      </c>
      <c r="C323" s="25" t="s">
        <v>872</v>
      </c>
      <c r="D323" s="25" t="s">
        <v>162</v>
      </c>
      <c r="E323" s="25" t="s">
        <v>100</v>
      </c>
      <c r="F323" s="26">
        <v>21494600</v>
      </c>
      <c r="G323" s="15">
        <f t="shared" si="4"/>
        <v>21494600</v>
      </c>
      <c r="H323" s="28">
        <v>-800000</v>
      </c>
    </row>
    <row r="324" spans="1:8">
      <c r="A324" s="25" t="s">
        <v>881</v>
      </c>
      <c r="B324" s="25" t="s">
        <v>882</v>
      </c>
      <c r="C324" s="25" t="s">
        <v>872</v>
      </c>
      <c r="D324" s="25" t="s">
        <v>162</v>
      </c>
      <c r="E324" s="25" t="s">
        <v>100</v>
      </c>
      <c r="F324" s="26">
        <v>4080000</v>
      </c>
      <c r="G324" s="15">
        <f t="shared" si="4"/>
        <v>4080000</v>
      </c>
      <c r="H324" s="28">
        <v>-30000</v>
      </c>
    </row>
    <row r="325" spans="1:8">
      <c r="A325" s="25" t="s">
        <v>883</v>
      </c>
      <c r="B325" s="25" t="s">
        <v>884</v>
      </c>
      <c r="C325" s="25" t="s">
        <v>872</v>
      </c>
      <c r="D325" s="25" t="s">
        <v>162</v>
      </c>
      <c r="E325" s="25" t="s">
        <v>100</v>
      </c>
      <c r="F325" s="26">
        <v>137241</v>
      </c>
      <c r="G325" s="15">
        <f t="shared" ref="G325:G388" si="5">ROUND(F325,0)</f>
        <v>137241</v>
      </c>
    </row>
    <row r="326" spans="1:8">
      <c r="A326" s="25" t="s">
        <v>885</v>
      </c>
      <c r="B326" s="25" t="s">
        <v>886</v>
      </c>
      <c r="C326" s="25" t="s">
        <v>872</v>
      </c>
      <c r="D326" s="25" t="s">
        <v>162</v>
      </c>
      <c r="E326" s="25" t="s">
        <v>100</v>
      </c>
      <c r="F326" s="26">
        <v>140400</v>
      </c>
      <c r="G326" s="15">
        <f t="shared" si="5"/>
        <v>140400</v>
      </c>
    </row>
    <row r="327" spans="1:8">
      <c r="A327" s="25" t="s">
        <v>887</v>
      </c>
      <c r="B327" s="25" t="s">
        <v>888</v>
      </c>
      <c r="C327" s="25" t="s">
        <v>872</v>
      </c>
      <c r="D327" s="25" t="s">
        <v>162</v>
      </c>
      <c r="E327" s="25" t="s">
        <v>100</v>
      </c>
      <c r="F327" s="26">
        <v>200000</v>
      </c>
      <c r="G327" s="15">
        <f t="shared" si="5"/>
        <v>200000</v>
      </c>
      <c r="H327" s="28">
        <v>-65800</v>
      </c>
    </row>
    <row r="328" spans="1:8">
      <c r="A328" s="25" t="s">
        <v>889</v>
      </c>
      <c r="B328" s="25" t="s">
        <v>890</v>
      </c>
      <c r="C328" s="25" t="s">
        <v>872</v>
      </c>
      <c r="D328" s="25" t="s">
        <v>169</v>
      </c>
      <c r="E328" s="25" t="s">
        <v>891</v>
      </c>
      <c r="F328" s="26">
        <v>54552241</v>
      </c>
      <c r="G328" s="15">
        <f t="shared" si="5"/>
        <v>54552241</v>
      </c>
    </row>
    <row r="329" spans="1:8">
      <c r="A329" s="25" t="s">
        <v>892</v>
      </c>
      <c r="B329" s="25" t="s">
        <v>893</v>
      </c>
      <c r="C329" s="25" t="s">
        <v>872</v>
      </c>
      <c r="D329" s="25" t="s">
        <v>157</v>
      </c>
      <c r="E329" s="25" t="s">
        <v>100</v>
      </c>
      <c r="F329" s="26">
        <v>0</v>
      </c>
      <c r="G329" s="15">
        <f t="shared" si="5"/>
        <v>0</v>
      </c>
    </row>
    <row r="330" spans="1:8">
      <c r="A330" s="25" t="s">
        <v>894</v>
      </c>
      <c r="B330" s="25" t="s">
        <v>895</v>
      </c>
      <c r="C330" s="25" t="s">
        <v>872</v>
      </c>
      <c r="D330" s="25" t="s">
        <v>162</v>
      </c>
      <c r="E330" s="25" t="s">
        <v>100</v>
      </c>
      <c r="F330" s="26">
        <v>0</v>
      </c>
      <c r="G330" s="15">
        <f t="shared" si="5"/>
        <v>0</v>
      </c>
    </row>
    <row r="331" spans="1:8">
      <c r="A331" s="25" t="s">
        <v>896</v>
      </c>
      <c r="B331" s="25" t="s">
        <v>897</v>
      </c>
      <c r="C331" s="25" t="s">
        <v>872</v>
      </c>
      <c r="D331" s="25" t="s">
        <v>169</v>
      </c>
      <c r="E331" s="25" t="s">
        <v>898</v>
      </c>
      <c r="F331" s="26">
        <v>0</v>
      </c>
      <c r="G331" s="15">
        <f t="shared" si="5"/>
        <v>0</v>
      </c>
    </row>
    <row r="332" spans="1:8">
      <c r="A332" s="25" t="s">
        <v>899</v>
      </c>
      <c r="B332" s="25" t="s">
        <v>900</v>
      </c>
      <c r="C332" s="25" t="s">
        <v>872</v>
      </c>
      <c r="D332" s="25" t="s">
        <v>157</v>
      </c>
      <c r="E332" s="25" t="s">
        <v>100</v>
      </c>
      <c r="F332" s="26">
        <v>0</v>
      </c>
      <c r="G332" s="15">
        <f t="shared" si="5"/>
        <v>0</v>
      </c>
    </row>
    <row r="333" spans="1:8">
      <c r="A333" s="25" t="s">
        <v>901</v>
      </c>
      <c r="B333" s="25" t="s">
        <v>902</v>
      </c>
      <c r="C333" s="25" t="s">
        <v>872</v>
      </c>
      <c r="D333" s="25" t="s">
        <v>162</v>
      </c>
      <c r="E333" s="25" t="s">
        <v>100</v>
      </c>
      <c r="F333" s="26">
        <v>3366400</v>
      </c>
      <c r="G333" s="15">
        <f t="shared" si="5"/>
        <v>3366400</v>
      </c>
      <c r="H333" s="28">
        <v>887700</v>
      </c>
    </row>
    <row r="334" spans="1:8">
      <c r="A334" s="25" t="s">
        <v>903</v>
      </c>
      <c r="B334" s="25" t="s">
        <v>2147</v>
      </c>
      <c r="C334" s="25" t="s">
        <v>872</v>
      </c>
      <c r="D334" s="25" t="s">
        <v>162</v>
      </c>
      <c r="E334" s="25" t="s">
        <v>100</v>
      </c>
      <c r="F334" s="26">
        <v>31876.38</v>
      </c>
      <c r="G334" s="15">
        <f t="shared" si="5"/>
        <v>31876</v>
      </c>
    </row>
    <row r="335" spans="1:8">
      <c r="A335" s="25" t="s">
        <v>905</v>
      </c>
      <c r="B335" s="25" t="s">
        <v>906</v>
      </c>
      <c r="C335" s="25" t="s">
        <v>872</v>
      </c>
      <c r="D335" s="25" t="s">
        <v>162</v>
      </c>
      <c r="E335" s="25" t="s">
        <v>100</v>
      </c>
      <c r="F335" s="26">
        <v>8250</v>
      </c>
      <c r="G335" s="15">
        <f t="shared" si="5"/>
        <v>8250</v>
      </c>
    </row>
    <row r="336" spans="1:8">
      <c r="A336" s="25" t="s">
        <v>907</v>
      </c>
      <c r="B336" s="25" t="s">
        <v>908</v>
      </c>
      <c r="C336" s="25" t="s">
        <v>872</v>
      </c>
      <c r="D336" s="25" t="s">
        <v>162</v>
      </c>
      <c r="E336" s="25" t="s">
        <v>100</v>
      </c>
      <c r="F336" s="26">
        <v>4948412.5</v>
      </c>
      <c r="G336" s="15">
        <f t="shared" si="5"/>
        <v>4948413</v>
      </c>
      <c r="H336" s="32">
        <f>-1300000+700000+319340</f>
        <v>-280660</v>
      </c>
    </row>
    <row r="337" spans="1:8">
      <c r="A337" s="25" t="s">
        <v>909</v>
      </c>
      <c r="B337" s="25" t="s">
        <v>910</v>
      </c>
      <c r="C337" s="25" t="s">
        <v>872</v>
      </c>
      <c r="D337" s="25" t="s">
        <v>162</v>
      </c>
      <c r="E337" s="25" t="s">
        <v>100</v>
      </c>
      <c r="F337" s="26">
        <v>-1218569</v>
      </c>
      <c r="G337" s="15">
        <f t="shared" si="5"/>
        <v>-1218569</v>
      </c>
      <c r="H337" s="32">
        <f>1300000+12478</f>
        <v>1312478</v>
      </c>
    </row>
    <row r="338" spans="1:8">
      <c r="A338" s="25" t="s">
        <v>913</v>
      </c>
      <c r="B338" s="25" t="s">
        <v>914</v>
      </c>
      <c r="C338" s="25" t="s">
        <v>872</v>
      </c>
      <c r="D338" s="25" t="s">
        <v>169</v>
      </c>
      <c r="E338" s="25" t="s">
        <v>915</v>
      </c>
      <c r="F338" s="26">
        <v>7136369.8799999999</v>
      </c>
      <c r="G338" s="15">
        <f t="shared" si="5"/>
        <v>7136370</v>
      </c>
    </row>
    <row r="339" spans="1:8">
      <c r="A339" s="25" t="s">
        <v>916</v>
      </c>
      <c r="B339" s="25" t="s">
        <v>917</v>
      </c>
      <c r="C339" s="25" t="s">
        <v>872</v>
      </c>
      <c r="D339" s="25" t="s">
        <v>169</v>
      </c>
      <c r="E339" s="25" t="s">
        <v>918</v>
      </c>
      <c r="F339" s="26">
        <v>61688610.880000003</v>
      </c>
      <c r="G339" s="3">
        <f t="shared" si="5"/>
        <v>61688611</v>
      </c>
    </row>
    <row r="340" spans="1:8">
      <c r="A340" s="25" t="s">
        <v>919</v>
      </c>
      <c r="B340" s="25" t="s">
        <v>920</v>
      </c>
      <c r="C340" s="25" t="s">
        <v>872</v>
      </c>
      <c r="D340" s="25" t="s">
        <v>157</v>
      </c>
      <c r="E340" s="25" t="s">
        <v>100</v>
      </c>
      <c r="F340" s="26">
        <v>0</v>
      </c>
      <c r="G340" s="3">
        <f t="shared" si="5"/>
        <v>0</v>
      </c>
    </row>
    <row r="341" spans="1:8">
      <c r="A341" s="25" t="s">
        <v>921</v>
      </c>
      <c r="B341" s="25" t="s">
        <v>922</v>
      </c>
      <c r="C341" s="25" t="s">
        <v>872</v>
      </c>
      <c r="D341" s="25" t="s">
        <v>157</v>
      </c>
      <c r="E341" s="25" t="s">
        <v>100</v>
      </c>
      <c r="F341" s="26">
        <v>0</v>
      </c>
      <c r="G341" s="3">
        <f t="shared" si="5"/>
        <v>0</v>
      </c>
    </row>
    <row r="342" spans="1:8">
      <c r="A342" s="25" t="s">
        <v>923</v>
      </c>
      <c r="B342" s="25" t="s">
        <v>924</v>
      </c>
      <c r="C342" s="25" t="s">
        <v>872</v>
      </c>
      <c r="D342" s="25" t="s">
        <v>162</v>
      </c>
      <c r="E342" s="25" t="s">
        <v>100</v>
      </c>
      <c r="F342" s="26">
        <v>129221.73</v>
      </c>
      <c r="G342" s="15">
        <f t="shared" si="5"/>
        <v>129222</v>
      </c>
    </row>
    <row r="343" spans="1:8">
      <c r="A343" s="25" t="s">
        <v>925</v>
      </c>
      <c r="B343" s="25" t="s">
        <v>926</v>
      </c>
      <c r="C343" s="25" t="s">
        <v>872</v>
      </c>
      <c r="D343" s="25" t="s">
        <v>162</v>
      </c>
      <c r="E343" s="25" t="s">
        <v>100</v>
      </c>
      <c r="F343" s="26">
        <v>0</v>
      </c>
      <c r="G343" s="3">
        <f t="shared" si="5"/>
        <v>0</v>
      </c>
    </row>
    <row r="344" spans="1:8">
      <c r="A344" s="25" t="s">
        <v>927</v>
      </c>
      <c r="B344" s="25" t="s">
        <v>928</v>
      </c>
      <c r="C344" s="25" t="s">
        <v>872</v>
      </c>
      <c r="D344" s="25" t="s">
        <v>162</v>
      </c>
      <c r="E344" s="25" t="s">
        <v>100</v>
      </c>
      <c r="F344" s="26">
        <v>0</v>
      </c>
      <c r="G344" s="3">
        <f t="shared" si="5"/>
        <v>0</v>
      </c>
    </row>
    <row r="345" spans="1:8">
      <c r="A345" s="25" t="s">
        <v>929</v>
      </c>
      <c r="B345" s="25" t="s">
        <v>930</v>
      </c>
      <c r="C345" s="25" t="s">
        <v>872</v>
      </c>
      <c r="D345" s="25" t="s">
        <v>162</v>
      </c>
      <c r="E345" s="25" t="s">
        <v>100</v>
      </c>
      <c r="F345" s="26">
        <v>0</v>
      </c>
      <c r="G345" s="3">
        <f t="shared" si="5"/>
        <v>0</v>
      </c>
    </row>
    <row r="346" spans="1:8">
      <c r="A346" s="25" t="s">
        <v>931</v>
      </c>
      <c r="B346" s="25" t="s">
        <v>932</v>
      </c>
      <c r="C346" s="25" t="s">
        <v>872</v>
      </c>
      <c r="D346" s="25" t="s">
        <v>162</v>
      </c>
      <c r="E346" s="25" t="s">
        <v>100</v>
      </c>
      <c r="F346" s="26">
        <v>164165.69</v>
      </c>
      <c r="G346" s="15">
        <f t="shared" si="5"/>
        <v>164166</v>
      </c>
      <c r="H346" s="28">
        <v>-8125</v>
      </c>
    </row>
    <row r="347" spans="1:8">
      <c r="A347" s="25" t="s">
        <v>2278</v>
      </c>
      <c r="B347" s="25" t="s">
        <v>2279</v>
      </c>
      <c r="C347" s="25" t="s">
        <v>872</v>
      </c>
      <c r="D347" s="25" t="s">
        <v>162</v>
      </c>
      <c r="E347" s="25" t="s">
        <v>100</v>
      </c>
      <c r="F347" s="26">
        <v>0</v>
      </c>
      <c r="G347" s="3">
        <f t="shared" si="5"/>
        <v>0</v>
      </c>
    </row>
    <row r="348" spans="1:8">
      <c r="A348" s="25" t="s">
        <v>933</v>
      </c>
      <c r="B348" s="25" t="s">
        <v>934</v>
      </c>
      <c r="C348" s="25" t="s">
        <v>872</v>
      </c>
      <c r="D348" s="25" t="s">
        <v>162</v>
      </c>
      <c r="E348" s="25" t="s">
        <v>100</v>
      </c>
      <c r="F348" s="26">
        <v>0</v>
      </c>
      <c r="G348" s="3">
        <f t="shared" si="5"/>
        <v>0</v>
      </c>
    </row>
    <row r="349" spans="1:8">
      <c r="A349" s="25" t="s">
        <v>2202</v>
      </c>
      <c r="B349" s="25" t="s">
        <v>2203</v>
      </c>
      <c r="C349" s="25" t="s">
        <v>872</v>
      </c>
      <c r="D349" s="25" t="s">
        <v>162</v>
      </c>
      <c r="E349" s="25" t="s">
        <v>100</v>
      </c>
      <c r="F349" s="26">
        <v>-49604.12</v>
      </c>
      <c r="G349" s="3">
        <f t="shared" si="5"/>
        <v>-49604</v>
      </c>
    </row>
    <row r="350" spans="1:8">
      <c r="A350" s="25" t="s">
        <v>935</v>
      </c>
      <c r="B350" s="25" t="s">
        <v>2171</v>
      </c>
      <c r="C350" s="25" t="s">
        <v>872</v>
      </c>
      <c r="D350" s="25" t="s">
        <v>162</v>
      </c>
      <c r="E350" s="25" t="s">
        <v>100</v>
      </c>
      <c r="F350" s="26">
        <v>0</v>
      </c>
      <c r="G350" s="3">
        <f t="shared" si="5"/>
        <v>0</v>
      </c>
    </row>
    <row r="351" spans="1:8">
      <c r="A351" s="25" t="s">
        <v>937</v>
      </c>
      <c r="B351" s="25" t="s">
        <v>938</v>
      </c>
      <c r="C351" s="25" t="s">
        <v>872</v>
      </c>
      <c r="D351" s="25" t="s">
        <v>169</v>
      </c>
      <c r="E351" s="25" t="s">
        <v>939</v>
      </c>
      <c r="F351" s="26">
        <v>243783.3</v>
      </c>
      <c r="G351" s="3">
        <f t="shared" si="5"/>
        <v>243783</v>
      </c>
    </row>
    <row r="352" spans="1:8">
      <c r="A352" s="25" t="s">
        <v>940</v>
      </c>
      <c r="B352" s="25" t="s">
        <v>941</v>
      </c>
      <c r="C352" s="25" t="s">
        <v>872</v>
      </c>
      <c r="D352" s="25" t="s">
        <v>157</v>
      </c>
      <c r="E352" s="25" t="s">
        <v>100</v>
      </c>
      <c r="F352" s="26">
        <v>0</v>
      </c>
      <c r="G352" s="3">
        <f t="shared" si="5"/>
        <v>0</v>
      </c>
    </row>
    <row r="353" spans="1:7">
      <c r="A353" s="25" t="s">
        <v>942</v>
      </c>
      <c r="B353" s="25" t="s">
        <v>943</v>
      </c>
      <c r="C353" s="25" t="s">
        <v>872</v>
      </c>
      <c r="D353" s="25" t="s">
        <v>162</v>
      </c>
      <c r="E353" s="25" t="s">
        <v>100</v>
      </c>
      <c r="F353" s="26">
        <v>21000</v>
      </c>
      <c r="G353" s="15">
        <f t="shared" si="5"/>
        <v>21000</v>
      </c>
    </row>
    <row r="354" spans="1:7">
      <c r="A354" s="25" t="s">
        <v>944</v>
      </c>
      <c r="B354" s="25" t="s">
        <v>2204</v>
      </c>
      <c r="C354" s="25" t="s">
        <v>872</v>
      </c>
      <c r="D354" s="25" t="s">
        <v>162</v>
      </c>
      <c r="E354" s="25" t="s">
        <v>100</v>
      </c>
      <c r="F354" s="26">
        <v>0</v>
      </c>
      <c r="G354" s="15">
        <f t="shared" si="5"/>
        <v>0</v>
      </c>
    </row>
    <row r="355" spans="1:7">
      <c r="A355" s="25" t="s">
        <v>946</v>
      </c>
      <c r="B355" s="25" t="s">
        <v>947</v>
      </c>
      <c r="C355" s="25" t="s">
        <v>872</v>
      </c>
      <c r="D355" s="25" t="s">
        <v>162</v>
      </c>
      <c r="E355" s="25" t="s">
        <v>100</v>
      </c>
      <c r="F355" s="26">
        <v>0</v>
      </c>
      <c r="G355" s="15">
        <f t="shared" si="5"/>
        <v>0</v>
      </c>
    </row>
    <row r="356" spans="1:7">
      <c r="A356" s="25" t="s">
        <v>948</v>
      </c>
      <c r="B356" s="25" t="s">
        <v>949</v>
      </c>
      <c r="C356" s="25" t="s">
        <v>872</v>
      </c>
      <c r="D356" s="25" t="s">
        <v>162</v>
      </c>
      <c r="E356" s="25" t="s">
        <v>100</v>
      </c>
      <c r="F356" s="26">
        <v>61327.88</v>
      </c>
      <c r="G356" s="15">
        <f t="shared" si="5"/>
        <v>61328</v>
      </c>
    </row>
    <row r="357" spans="1:7">
      <c r="A357" s="25" t="s">
        <v>950</v>
      </c>
      <c r="B357" s="25" t="s">
        <v>951</v>
      </c>
      <c r="C357" s="25" t="s">
        <v>872</v>
      </c>
      <c r="D357" s="25" t="s">
        <v>162</v>
      </c>
      <c r="E357" s="25" t="s">
        <v>100</v>
      </c>
      <c r="F357" s="26">
        <v>3000</v>
      </c>
      <c r="G357" s="15">
        <f t="shared" si="5"/>
        <v>3000</v>
      </c>
    </row>
    <row r="358" spans="1:7">
      <c r="A358" s="25" t="s">
        <v>952</v>
      </c>
      <c r="B358" s="25" t="s">
        <v>953</v>
      </c>
      <c r="C358" s="25" t="s">
        <v>872</v>
      </c>
      <c r="D358" s="25" t="s">
        <v>169</v>
      </c>
      <c r="E358" s="25" t="s">
        <v>954</v>
      </c>
      <c r="F358" s="26">
        <v>85327.88</v>
      </c>
      <c r="G358" s="15">
        <f t="shared" si="5"/>
        <v>85328</v>
      </c>
    </row>
    <row r="359" spans="1:7">
      <c r="A359" s="25" t="s">
        <v>955</v>
      </c>
      <c r="B359" s="25" t="s">
        <v>956</v>
      </c>
      <c r="C359" s="25" t="s">
        <v>872</v>
      </c>
      <c r="D359" s="25" t="s">
        <v>157</v>
      </c>
      <c r="E359" s="25" t="s">
        <v>100</v>
      </c>
      <c r="F359" s="26">
        <v>0</v>
      </c>
      <c r="G359" s="15">
        <f t="shared" si="5"/>
        <v>0</v>
      </c>
    </row>
    <row r="360" spans="1:7">
      <c r="A360" s="25" t="s">
        <v>957</v>
      </c>
      <c r="B360" s="25" t="s">
        <v>958</v>
      </c>
      <c r="C360" s="25" t="s">
        <v>872</v>
      </c>
      <c r="D360" s="25" t="s">
        <v>162</v>
      </c>
      <c r="E360" s="25" t="s">
        <v>100</v>
      </c>
      <c r="F360" s="26">
        <v>864.63</v>
      </c>
      <c r="G360" s="15">
        <f t="shared" si="5"/>
        <v>865</v>
      </c>
    </row>
    <row r="361" spans="1:7">
      <c r="A361" s="25" t="s">
        <v>959</v>
      </c>
      <c r="B361" s="25" t="s">
        <v>960</v>
      </c>
      <c r="C361" s="25" t="s">
        <v>872</v>
      </c>
      <c r="D361" s="25" t="s">
        <v>162</v>
      </c>
      <c r="E361" s="25" t="s">
        <v>100</v>
      </c>
      <c r="F361" s="26">
        <v>1179992.0900000001</v>
      </c>
      <c r="G361" s="15">
        <f t="shared" si="5"/>
        <v>1179992</v>
      </c>
    </row>
    <row r="362" spans="1:7">
      <c r="A362" s="25" t="s">
        <v>961</v>
      </c>
      <c r="B362" s="25" t="s">
        <v>962</v>
      </c>
      <c r="C362" s="25" t="s">
        <v>872</v>
      </c>
      <c r="D362" s="25" t="s">
        <v>162</v>
      </c>
      <c r="E362" s="25" t="s">
        <v>100</v>
      </c>
      <c r="F362" s="26">
        <v>104426.13</v>
      </c>
      <c r="G362" s="15">
        <f t="shared" si="5"/>
        <v>104426</v>
      </c>
    </row>
    <row r="363" spans="1:7">
      <c r="A363" s="25" t="s">
        <v>963</v>
      </c>
      <c r="B363" s="25" t="s">
        <v>964</v>
      </c>
      <c r="C363" s="25" t="s">
        <v>872</v>
      </c>
      <c r="D363" s="25" t="s">
        <v>162</v>
      </c>
      <c r="E363" s="25" t="s">
        <v>100</v>
      </c>
      <c r="F363" s="26">
        <v>0</v>
      </c>
      <c r="G363" s="15">
        <f t="shared" si="5"/>
        <v>0</v>
      </c>
    </row>
    <row r="364" spans="1:7">
      <c r="A364" s="25" t="s">
        <v>965</v>
      </c>
      <c r="B364" s="25" t="s">
        <v>966</v>
      </c>
      <c r="C364" s="25" t="s">
        <v>872</v>
      </c>
      <c r="D364" s="25" t="s">
        <v>169</v>
      </c>
      <c r="E364" s="25" t="s">
        <v>967</v>
      </c>
      <c r="F364" s="26">
        <v>1285282.8500000001</v>
      </c>
      <c r="G364" s="15">
        <f t="shared" si="5"/>
        <v>1285283</v>
      </c>
    </row>
    <row r="365" spans="1:7">
      <c r="A365" s="25" t="s">
        <v>968</v>
      </c>
      <c r="B365" s="25" t="s">
        <v>938</v>
      </c>
      <c r="C365" s="25" t="s">
        <v>872</v>
      </c>
      <c r="D365" s="25" t="s">
        <v>169</v>
      </c>
      <c r="E365" s="25" t="s">
        <v>969</v>
      </c>
      <c r="F365" s="26">
        <v>1614394.03</v>
      </c>
      <c r="G365" s="15">
        <f t="shared" si="5"/>
        <v>1614394</v>
      </c>
    </row>
    <row r="366" spans="1:7">
      <c r="A366" s="25" t="s">
        <v>970</v>
      </c>
      <c r="B366" s="25" t="s">
        <v>971</v>
      </c>
      <c r="C366" s="25" t="s">
        <v>872</v>
      </c>
      <c r="D366" s="25" t="s">
        <v>157</v>
      </c>
      <c r="E366" s="25" t="s">
        <v>100</v>
      </c>
      <c r="F366" s="26">
        <v>0</v>
      </c>
      <c r="G366" s="15">
        <f t="shared" si="5"/>
        <v>0</v>
      </c>
    </row>
    <row r="367" spans="1:7">
      <c r="A367" s="25" t="s">
        <v>972</v>
      </c>
      <c r="B367" s="25" t="s">
        <v>973</v>
      </c>
      <c r="C367" s="25" t="s">
        <v>872</v>
      </c>
      <c r="D367" s="25" t="s">
        <v>162</v>
      </c>
      <c r="E367" s="25" t="s">
        <v>100</v>
      </c>
      <c r="F367" s="26">
        <v>5403235.9800000004</v>
      </c>
      <c r="G367" s="15">
        <f t="shared" si="5"/>
        <v>5403236</v>
      </c>
    </row>
    <row r="368" spans="1:7">
      <c r="A368" s="25" t="s">
        <v>974</v>
      </c>
      <c r="B368" s="25" t="s">
        <v>928</v>
      </c>
      <c r="C368" s="25" t="s">
        <v>872</v>
      </c>
      <c r="D368" s="25" t="s">
        <v>162</v>
      </c>
      <c r="E368" s="25" t="s">
        <v>100</v>
      </c>
      <c r="F368" s="26">
        <v>0</v>
      </c>
      <c r="G368" s="15">
        <f t="shared" si="5"/>
        <v>0</v>
      </c>
    </row>
    <row r="369" spans="1:8">
      <c r="A369" s="25" t="s">
        <v>976</v>
      </c>
      <c r="B369" s="25" t="s">
        <v>2280</v>
      </c>
      <c r="C369" s="25" t="s">
        <v>872</v>
      </c>
      <c r="D369" s="25" t="s">
        <v>162</v>
      </c>
      <c r="E369" s="25" t="s">
        <v>100</v>
      </c>
      <c r="F369" s="26">
        <v>0</v>
      </c>
      <c r="G369" s="15">
        <f t="shared" si="5"/>
        <v>0</v>
      </c>
    </row>
    <row r="370" spans="1:8">
      <c r="A370" s="25" t="s">
        <v>978</v>
      </c>
      <c r="B370" s="25" t="s">
        <v>979</v>
      </c>
      <c r="C370" s="25" t="s">
        <v>872</v>
      </c>
      <c r="D370" s="25" t="s">
        <v>162</v>
      </c>
      <c r="E370" s="25" t="s">
        <v>100</v>
      </c>
      <c r="F370" s="26">
        <v>6854.93</v>
      </c>
      <c r="G370" s="15">
        <f t="shared" si="5"/>
        <v>6855</v>
      </c>
    </row>
    <row r="371" spans="1:8">
      <c r="A371" s="25" t="s">
        <v>980</v>
      </c>
      <c r="B371" s="25" t="s">
        <v>981</v>
      </c>
      <c r="C371" s="25" t="s">
        <v>872</v>
      </c>
      <c r="D371" s="25" t="s">
        <v>162</v>
      </c>
      <c r="E371" s="25" t="s">
        <v>100</v>
      </c>
      <c r="F371" s="26">
        <v>-1805.95</v>
      </c>
      <c r="G371" s="15">
        <f t="shared" si="5"/>
        <v>-1806</v>
      </c>
    </row>
    <row r="372" spans="1:8">
      <c r="A372" s="25" t="s">
        <v>982</v>
      </c>
      <c r="B372" s="25" t="s">
        <v>983</v>
      </c>
      <c r="C372" s="25" t="s">
        <v>872</v>
      </c>
      <c r="D372" s="25" t="s">
        <v>162</v>
      </c>
      <c r="E372" s="25" t="s">
        <v>100</v>
      </c>
      <c r="F372" s="26">
        <v>4.78</v>
      </c>
      <c r="G372" s="15">
        <f t="shared" si="5"/>
        <v>5</v>
      </c>
    </row>
    <row r="373" spans="1:8">
      <c r="A373" s="25" t="s">
        <v>984</v>
      </c>
      <c r="B373" s="25" t="s">
        <v>985</v>
      </c>
      <c r="C373" s="25" t="s">
        <v>872</v>
      </c>
      <c r="D373" s="25" t="s">
        <v>162</v>
      </c>
      <c r="E373" s="25" t="s">
        <v>100</v>
      </c>
      <c r="F373" s="26">
        <v>959.75</v>
      </c>
      <c r="G373" s="15">
        <f t="shared" si="5"/>
        <v>960</v>
      </c>
    </row>
    <row r="374" spans="1:8">
      <c r="A374" s="25" t="s">
        <v>986</v>
      </c>
      <c r="B374" s="25" t="s">
        <v>987</v>
      </c>
      <c r="C374" s="25" t="s">
        <v>872</v>
      </c>
      <c r="D374" s="25" t="s">
        <v>162</v>
      </c>
      <c r="E374" s="25" t="s">
        <v>100</v>
      </c>
      <c r="F374" s="26">
        <v>2101.5</v>
      </c>
      <c r="G374" s="15">
        <f t="shared" si="5"/>
        <v>2102</v>
      </c>
    </row>
    <row r="375" spans="1:8">
      <c r="A375" s="25" t="s">
        <v>988</v>
      </c>
      <c r="B375" s="25" t="s">
        <v>2281</v>
      </c>
      <c r="C375" s="25" t="s">
        <v>872</v>
      </c>
      <c r="D375" s="25" t="s">
        <v>162</v>
      </c>
      <c r="E375" s="25" t="s">
        <v>100</v>
      </c>
      <c r="F375" s="26">
        <v>3121.43</v>
      </c>
      <c r="G375" s="15">
        <f t="shared" si="5"/>
        <v>3121</v>
      </c>
    </row>
    <row r="376" spans="1:8">
      <c r="A376" s="25" t="s">
        <v>990</v>
      </c>
      <c r="B376" s="25" t="s">
        <v>2282</v>
      </c>
      <c r="C376" s="25" t="s">
        <v>872</v>
      </c>
      <c r="D376" s="25" t="s">
        <v>162</v>
      </c>
      <c r="E376" s="25" t="s">
        <v>100</v>
      </c>
      <c r="F376" s="26">
        <v>0</v>
      </c>
      <c r="G376" s="15">
        <f t="shared" si="5"/>
        <v>0</v>
      </c>
    </row>
    <row r="377" spans="1:8">
      <c r="A377" s="25" t="s">
        <v>992</v>
      </c>
      <c r="B377" s="25" t="s">
        <v>993</v>
      </c>
      <c r="C377" s="25" t="s">
        <v>872</v>
      </c>
      <c r="D377" s="25" t="s">
        <v>162</v>
      </c>
      <c r="E377" s="25" t="s">
        <v>100</v>
      </c>
      <c r="F377" s="26">
        <v>604.80999999999995</v>
      </c>
      <c r="G377" s="15">
        <f t="shared" si="5"/>
        <v>605</v>
      </c>
    </row>
    <row r="378" spans="1:8">
      <c r="A378" s="25" t="s">
        <v>1002</v>
      </c>
      <c r="B378" s="25" t="s">
        <v>1003</v>
      </c>
      <c r="C378" s="25" t="s">
        <v>872</v>
      </c>
      <c r="D378" s="25" t="s">
        <v>169</v>
      </c>
      <c r="E378" s="25" t="s">
        <v>1004</v>
      </c>
      <c r="F378" s="26">
        <v>5415077.2300000004</v>
      </c>
      <c r="G378" s="15">
        <f t="shared" si="5"/>
        <v>5415077</v>
      </c>
    </row>
    <row r="379" spans="1:8">
      <c r="A379" s="25" t="s">
        <v>1005</v>
      </c>
      <c r="B379" s="25" t="s">
        <v>1006</v>
      </c>
      <c r="C379" s="25" t="s">
        <v>872</v>
      </c>
      <c r="D379" s="25" t="s">
        <v>169</v>
      </c>
      <c r="E379" s="25" t="s">
        <v>1007</v>
      </c>
      <c r="F379" s="26">
        <v>68718082.140000001</v>
      </c>
      <c r="G379" s="3">
        <f t="shared" si="5"/>
        <v>68718082</v>
      </c>
    </row>
    <row r="380" spans="1:8">
      <c r="A380" s="25" t="s">
        <v>1008</v>
      </c>
      <c r="B380" s="25" t="s">
        <v>1009</v>
      </c>
      <c r="C380" s="25" t="s">
        <v>872</v>
      </c>
      <c r="D380" s="25" t="s">
        <v>157</v>
      </c>
      <c r="E380" s="25" t="s">
        <v>100</v>
      </c>
      <c r="F380" s="26">
        <v>0</v>
      </c>
      <c r="G380" s="3">
        <f t="shared" si="5"/>
        <v>0</v>
      </c>
    </row>
    <row r="381" spans="1:8">
      <c r="A381" s="25" t="s">
        <v>1010</v>
      </c>
      <c r="B381" s="25" t="s">
        <v>1011</v>
      </c>
      <c r="C381" s="25" t="s">
        <v>872</v>
      </c>
      <c r="D381" s="25" t="s">
        <v>157</v>
      </c>
      <c r="E381" s="25" t="s">
        <v>100</v>
      </c>
      <c r="F381" s="26">
        <v>0</v>
      </c>
      <c r="G381" s="3">
        <f t="shared" si="5"/>
        <v>0</v>
      </c>
    </row>
    <row r="382" spans="1:8">
      <c r="A382" s="25" t="s">
        <v>1012</v>
      </c>
      <c r="B382" s="25" t="s">
        <v>1013</v>
      </c>
      <c r="C382" s="25" t="s">
        <v>872</v>
      </c>
      <c r="D382" s="25" t="s">
        <v>157</v>
      </c>
      <c r="E382" s="25" t="s">
        <v>100</v>
      </c>
      <c r="F382" s="26">
        <v>0</v>
      </c>
      <c r="G382" s="3">
        <f t="shared" si="5"/>
        <v>0</v>
      </c>
    </row>
    <row r="383" spans="1:8">
      <c r="A383" s="25" t="s">
        <v>1014</v>
      </c>
      <c r="B383" s="25" t="s">
        <v>1015</v>
      </c>
      <c r="C383" s="25" t="s">
        <v>872</v>
      </c>
      <c r="D383" s="25" t="s">
        <v>162</v>
      </c>
      <c r="E383" s="25" t="s">
        <v>100</v>
      </c>
      <c r="F383" s="26">
        <v>-24104111.5</v>
      </c>
      <c r="G383" s="3">
        <f t="shared" si="5"/>
        <v>-24104112</v>
      </c>
    </row>
    <row r="384" spans="1:8">
      <c r="A384" s="25" t="s">
        <v>1016</v>
      </c>
      <c r="B384" s="25" t="s">
        <v>106</v>
      </c>
      <c r="C384" s="25" t="s">
        <v>872</v>
      </c>
      <c r="D384" s="25" t="s">
        <v>598</v>
      </c>
      <c r="E384" s="25" t="s">
        <v>869</v>
      </c>
      <c r="F384" s="26">
        <v>1979055.42</v>
      </c>
      <c r="G384" s="3">
        <f t="shared" si="5"/>
        <v>1979055</v>
      </c>
      <c r="H384" s="32">
        <v>3515</v>
      </c>
    </row>
    <row r="385" spans="1:9">
      <c r="A385" s="25" t="s">
        <v>1017</v>
      </c>
      <c r="B385" s="25" t="s">
        <v>1022</v>
      </c>
      <c r="C385" s="25" t="s">
        <v>872</v>
      </c>
      <c r="D385" s="25" t="s">
        <v>162</v>
      </c>
      <c r="E385" s="25" t="s">
        <v>100</v>
      </c>
      <c r="F385" s="26">
        <v>-20182186.149999999</v>
      </c>
      <c r="G385" s="15">
        <f t="shared" si="5"/>
        <v>-20182186</v>
      </c>
      <c r="H385" s="32">
        <f>800000+30000+65800</f>
        <v>895800</v>
      </c>
    </row>
    <row r="386" spans="1:9">
      <c r="A386" s="25" t="s">
        <v>1019</v>
      </c>
      <c r="B386" s="25" t="s">
        <v>1020</v>
      </c>
      <c r="C386" s="25" t="s">
        <v>872</v>
      </c>
      <c r="D386" s="25" t="s">
        <v>162</v>
      </c>
      <c r="E386" s="25" t="s">
        <v>100</v>
      </c>
      <c r="F386" s="26">
        <v>527309.25</v>
      </c>
      <c r="G386" s="3">
        <f t="shared" si="5"/>
        <v>527309</v>
      </c>
      <c r="H386" s="32">
        <v>-887700</v>
      </c>
    </row>
    <row r="387" spans="1:9">
      <c r="A387" s="25" t="s">
        <v>1021</v>
      </c>
      <c r="B387" s="25" t="s">
        <v>1018</v>
      </c>
      <c r="C387" s="25" t="s">
        <v>872</v>
      </c>
      <c r="D387" s="25" t="s">
        <v>162</v>
      </c>
      <c r="E387" s="25" t="s">
        <v>100</v>
      </c>
      <c r="F387" s="26">
        <v>-2209600</v>
      </c>
      <c r="G387" s="3">
        <f t="shared" si="5"/>
        <v>-2209600</v>
      </c>
    </row>
    <row r="388" spans="1:9">
      <c r="A388" s="25" t="s">
        <v>1025</v>
      </c>
      <c r="B388" s="25" t="s">
        <v>1026</v>
      </c>
      <c r="C388" s="25" t="s">
        <v>872</v>
      </c>
      <c r="D388" s="25" t="s">
        <v>169</v>
      </c>
      <c r="E388" s="25" t="s">
        <v>1027</v>
      </c>
      <c r="F388" s="26">
        <v>-45968588.399999999</v>
      </c>
      <c r="G388" s="3">
        <f t="shared" si="5"/>
        <v>-45968588</v>
      </c>
      <c r="I388" s="3">
        <f>+G383+G384+G386+G387+H384+H385+H386</f>
        <v>-23795733</v>
      </c>
    </row>
    <row r="389" spans="1:9">
      <c r="A389" s="25" t="s">
        <v>1028</v>
      </c>
      <c r="B389" s="25" t="s">
        <v>1029</v>
      </c>
      <c r="C389" s="25" t="s">
        <v>872</v>
      </c>
      <c r="D389" s="25" t="s">
        <v>157</v>
      </c>
      <c r="E389" s="25" t="s">
        <v>100</v>
      </c>
      <c r="F389" s="26">
        <v>0</v>
      </c>
      <c r="G389" s="3">
        <f t="shared" ref="G389:G452" si="6">ROUND(F389,0)</f>
        <v>0</v>
      </c>
    </row>
    <row r="390" spans="1:9">
      <c r="A390" s="25" t="s">
        <v>1030</v>
      </c>
      <c r="B390" s="25" t="s">
        <v>1031</v>
      </c>
      <c r="C390" s="25" t="s">
        <v>872</v>
      </c>
      <c r="D390" s="25" t="s">
        <v>162</v>
      </c>
      <c r="E390" s="25" t="s">
        <v>100</v>
      </c>
      <c r="F390" s="26">
        <v>-13613043.27</v>
      </c>
      <c r="G390" s="15">
        <f t="shared" si="6"/>
        <v>-13613043</v>
      </c>
    </row>
    <row r="391" spans="1:9">
      <c r="A391" s="25" t="s">
        <v>1032</v>
      </c>
      <c r="B391" s="25" t="s">
        <v>1033</v>
      </c>
      <c r="C391" s="25" t="s">
        <v>872</v>
      </c>
      <c r="D391" s="25" t="s">
        <v>162</v>
      </c>
      <c r="E391" s="25" t="s">
        <v>100</v>
      </c>
      <c r="F391" s="26">
        <v>-643974.39</v>
      </c>
      <c r="G391" s="15">
        <f t="shared" si="6"/>
        <v>-643974</v>
      </c>
    </row>
    <row r="392" spans="1:9">
      <c r="A392" s="25" t="s">
        <v>1034</v>
      </c>
      <c r="B392" s="25" t="s">
        <v>1035</v>
      </c>
      <c r="C392" s="25" t="s">
        <v>872</v>
      </c>
      <c r="D392" s="25" t="s">
        <v>162</v>
      </c>
      <c r="E392" s="25" t="s">
        <v>100</v>
      </c>
      <c r="F392" s="26">
        <v>489775</v>
      </c>
      <c r="G392" s="15">
        <f t="shared" si="6"/>
        <v>489775</v>
      </c>
    </row>
    <row r="393" spans="1:9">
      <c r="A393" s="25" t="s">
        <v>1036</v>
      </c>
      <c r="B393" s="25" t="s">
        <v>1037</v>
      </c>
      <c r="C393" s="25" t="s">
        <v>872</v>
      </c>
      <c r="D393" s="25" t="s">
        <v>162</v>
      </c>
      <c r="E393" s="25" t="s">
        <v>100</v>
      </c>
      <c r="F393" s="26">
        <v>7823553</v>
      </c>
      <c r="G393" s="15">
        <f t="shared" si="6"/>
        <v>7823553</v>
      </c>
    </row>
    <row r="394" spans="1:9">
      <c r="A394" s="25" t="s">
        <v>1038</v>
      </c>
      <c r="B394" s="25" t="s">
        <v>440</v>
      </c>
      <c r="C394" s="25" t="s">
        <v>872</v>
      </c>
      <c r="D394" s="25" t="s">
        <v>162</v>
      </c>
      <c r="E394" s="25" t="s">
        <v>100</v>
      </c>
      <c r="F394" s="26">
        <v>80000</v>
      </c>
      <c r="G394" s="15">
        <f t="shared" si="6"/>
        <v>80000</v>
      </c>
    </row>
    <row r="395" spans="1:9">
      <c r="A395" s="25" t="s">
        <v>1039</v>
      </c>
      <c r="B395" s="25" t="s">
        <v>1040</v>
      </c>
      <c r="C395" s="25" t="s">
        <v>872</v>
      </c>
      <c r="D395" s="25" t="s">
        <v>169</v>
      </c>
      <c r="E395" s="25" t="s">
        <v>1041</v>
      </c>
      <c r="F395" s="26">
        <v>-5863689.6600000001</v>
      </c>
      <c r="G395" s="15">
        <f t="shared" si="6"/>
        <v>-5863690</v>
      </c>
    </row>
    <row r="396" spans="1:9">
      <c r="A396" s="25" t="s">
        <v>1042</v>
      </c>
      <c r="B396" s="25" t="s">
        <v>1043</v>
      </c>
      <c r="C396" s="25" t="s">
        <v>872</v>
      </c>
      <c r="D396" s="25" t="s">
        <v>157</v>
      </c>
      <c r="E396" s="25" t="s">
        <v>100</v>
      </c>
      <c r="F396" s="26">
        <v>0</v>
      </c>
      <c r="G396" s="15">
        <f t="shared" si="6"/>
        <v>0</v>
      </c>
    </row>
    <row r="397" spans="1:9">
      <c r="A397" s="25" t="s">
        <v>1044</v>
      </c>
      <c r="B397" s="25" t="s">
        <v>1045</v>
      </c>
      <c r="C397" s="25" t="s">
        <v>872</v>
      </c>
      <c r="D397" s="25" t="s">
        <v>162</v>
      </c>
      <c r="E397" s="25" t="s">
        <v>100</v>
      </c>
      <c r="F397" s="26">
        <v>0</v>
      </c>
      <c r="G397" s="15">
        <f t="shared" si="6"/>
        <v>0</v>
      </c>
    </row>
    <row r="398" spans="1:9">
      <c r="A398" s="25" t="s">
        <v>1046</v>
      </c>
      <c r="B398" s="25" t="s">
        <v>1047</v>
      </c>
      <c r="C398" s="25" t="s">
        <v>872</v>
      </c>
      <c r="D398" s="25" t="s">
        <v>162</v>
      </c>
      <c r="E398" s="25" t="s">
        <v>100</v>
      </c>
      <c r="F398" s="26">
        <v>-2484861</v>
      </c>
      <c r="G398" s="15">
        <f t="shared" si="6"/>
        <v>-2484861</v>
      </c>
      <c r="H398" s="28">
        <f>462495+179228</f>
        <v>641723</v>
      </c>
      <c r="I398" t="s">
        <v>2251</v>
      </c>
    </row>
    <row r="399" spans="1:9">
      <c r="A399" s="25" t="s">
        <v>1048</v>
      </c>
      <c r="B399" s="25" t="s">
        <v>1049</v>
      </c>
      <c r="C399" s="25" t="s">
        <v>872</v>
      </c>
      <c r="D399" s="25" t="s">
        <v>162</v>
      </c>
      <c r="E399" s="25" t="s">
        <v>100</v>
      </c>
      <c r="F399" s="26">
        <v>-62688.72</v>
      </c>
      <c r="G399" s="15">
        <f t="shared" si="6"/>
        <v>-62689</v>
      </c>
    </row>
    <row r="400" spans="1:9">
      <c r="A400" s="25" t="s">
        <v>1050</v>
      </c>
      <c r="B400" s="25" t="s">
        <v>2320</v>
      </c>
      <c r="C400" s="25" t="s">
        <v>872</v>
      </c>
      <c r="D400" s="25" t="s">
        <v>162</v>
      </c>
      <c r="E400" s="25" t="s">
        <v>100</v>
      </c>
      <c r="F400" s="26">
        <v>0</v>
      </c>
      <c r="G400" s="15">
        <f t="shared" si="6"/>
        <v>0</v>
      </c>
    </row>
    <row r="401" spans="1:8">
      <c r="A401" s="25" t="s">
        <v>1052</v>
      </c>
      <c r="B401" s="25" t="s">
        <v>1053</v>
      </c>
      <c r="C401" s="25" t="s">
        <v>872</v>
      </c>
      <c r="D401" s="25" t="s">
        <v>162</v>
      </c>
      <c r="E401" s="25" t="s">
        <v>100</v>
      </c>
      <c r="F401" s="26">
        <v>0</v>
      </c>
      <c r="G401" s="15">
        <f t="shared" si="6"/>
        <v>0</v>
      </c>
    </row>
    <row r="402" spans="1:8">
      <c r="A402" s="25" t="s">
        <v>1054</v>
      </c>
      <c r="B402" s="25" t="s">
        <v>1055</v>
      </c>
      <c r="C402" s="25" t="s">
        <v>872</v>
      </c>
      <c r="D402" s="25" t="s">
        <v>162</v>
      </c>
      <c r="E402" s="25" t="s">
        <v>100</v>
      </c>
      <c r="F402" s="26">
        <v>-3105813.91</v>
      </c>
      <c r="G402" s="15">
        <f t="shared" si="6"/>
        <v>-3105814</v>
      </c>
      <c r="H402" s="28">
        <f>37228+584946</f>
        <v>622174</v>
      </c>
    </row>
    <row r="403" spans="1:8">
      <c r="A403" s="25" t="s">
        <v>1056</v>
      </c>
      <c r="B403" s="25" t="s">
        <v>2178</v>
      </c>
      <c r="C403" s="25" t="s">
        <v>872</v>
      </c>
      <c r="D403" s="25" t="s">
        <v>157</v>
      </c>
      <c r="E403" s="25" t="s">
        <v>100</v>
      </c>
      <c r="F403" s="26">
        <v>0</v>
      </c>
      <c r="G403" s="15">
        <f t="shared" si="6"/>
        <v>0</v>
      </c>
    </row>
    <row r="404" spans="1:8">
      <c r="A404" s="25" t="s">
        <v>1058</v>
      </c>
      <c r="B404" s="25" t="s">
        <v>1031</v>
      </c>
      <c r="C404" s="25" t="s">
        <v>872</v>
      </c>
      <c r="D404" s="25" t="s">
        <v>162</v>
      </c>
      <c r="E404" s="25" t="s">
        <v>100</v>
      </c>
      <c r="F404" s="26">
        <v>-622179.86</v>
      </c>
      <c r="G404" s="15">
        <f>ROUND(F404,0)</f>
        <v>-622180</v>
      </c>
    </row>
    <row r="405" spans="1:8">
      <c r="A405" s="25" t="s">
        <v>1059</v>
      </c>
      <c r="B405" s="25" t="s">
        <v>1060</v>
      </c>
      <c r="C405" s="25" t="s">
        <v>872</v>
      </c>
      <c r="D405" s="25" t="s">
        <v>162</v>
      </c>
      <c r="E405" s="25" t="s">
        <v>100</v>
      </c>
      <c r="F405" s="26">
        <v>0</v>
      </c>
      <c r="G405" s="15">
        <f t="shared" si="6"/>
        <v>0</v>
      </c>
    </row>
    <row r="406" spans="1:8">
      <c r="A406" s="25" t="s">
        <v>1061</v>
      </c>
      <c r="B406" s="25" t="s">
        <v>1062</v>
      </c>
      <c r="C406" s="25" t="s">
        <v>872</v>
      </c>
      <c r="D406" s="25" t="s">
        <v>162</v>
      </c>
      <c r="E406" s="25" t="s">
        <v>100</v>
      </c>
      <c r="F406" s="26">
        <v>46821.42</v>
      </c>
      <c r="G406" s="15">
        <f t="shared" si="6"/>
        <v>46821</v>
      </c>
    </row>
    <row r="407" spans="1:8">
      <c r="A407" s="25" t="s">
        <v>1063</v>
      </c>
      <c r="B407" s="25" t="s">
        <v>2179</v>
      </c>
      <c r="C407" s="25" t="s">
        <v>872</v>
      </c>
      <c r="D407" s="25" t="s">
        <v>169</v>
      </c>
      <c r="E407" s="25" t="s">
        <v>1065</v>
      </c>
      <c r="F407" s="26">
        <v>-575358.43999999994</v>
      </c>
      <c r="G407" s="15">
        <f t="shared" si="6"/>
        <v>-575358</v>
      </c>
    </row>
    <row r="408" spans="1:8">
      <c r="A408" s="25" t="s">
        <v>1066</v>
      </c>
      <c r="B408" s="25" t="s">
        <v>1067</v>
      </c>
      <c r="C408" s="25" t="s">
        <v>872</v>
      </c>
      <c r="D408" s="25" t="s">
        <v>169</v>
      </c>
      <c r="E408" s="25" t="s">
        <v>1068</v>
      </c>
      <c r="F408" s="26">
        <v>-6228722.0700000003</v>
      </c>
      <c r="G408" s="3">
        <f t="shared" si="6"/>
        <v>-6228722</v>
      </c>
    </row>
    <row r="409" spans="1:8">
      <c r="A409" s="25" t="s">
        <v>1069</v>
      </c>
      <c r="B409" s="25" t="s">
        <v>1070</v>
      </c>
      <c r="C409" s="25" t="s">
        <v>872</v>
      </c>
      <c r="D409" s="25" t="s">
        <v>169</v>
      </c>
      <c r="E409" s="25" t="s">
        <v>1071</v>
      </c>
      <c r="F409" s="26">
        <v>-58061000.130000003</v>
      </c>
      <c r="G409" s="3">
        <f t="shared" si="6"/>
        <v>-58061000</v>
      </c>
    </row>
    <row r="410" spans="1:8">
      <c r="A410" s="25" t="s">
        <v>1072</v>
      </c>
      <c r="B410" s="25" t="s">
        <v>1073</v>
      </c>
      <c r="C410" s="25" t="s">
        <v>872</v>
      </c>
      <c r="D410" s="25" t="s">
        <v>157</v>
      </c>
      <c r="E410" s="25" t="s">
        <v>100</v>
      </c>
      <c r="F410" s="26">
        <v>0</v>
      </c>
      <c r="G410" s="15">
        <f t="shared" si="6"/>
        <v>0</v>
      </c>
    </row>
    <row r="411" spans="1:8">
      <c r="A411" s="25" t="s">
        <v>1074</v>
      </c>
      <c r="B411" s="25" t="s">
        <v>1075</v>
      </c>
      <c r="C411" s="25" t="s">
        <v>872</v>
      </c>
      <c r="D411" s="25" t="s">
        <v>162</v>
      </c>
      <c r="E411" s="25" t="s">
        <v>100</v>
      </c>
      <c r="F411" s="26">
        <v>-921950</v>
      </c>
      <c r="G411" s="15">
        <f t="shared" si="6"/>
        <v>-921950</v>
      </c>
    </row>
    <row r="412" spans="1:8">
      <c r="A412" s="25" t="s">
        <v>1076</v>
      </c>
      <c r="B412" s="25" t="s">
        <v>1077</v>
      </c>
      <c r="C412" s="25" t="s">
        <v>872</v>
      </c>
      <c r="D412" s="25" t="s">
        <v>162</v>
      </c>
      <c r="E412" s="25" t="s">
        <v>100</v>
      </c>
      <c r="F412" s="26">
        <v>0</v>
      </c>
      <c r="G412" s="15">
        <f t="shared" si="6"/>
        <v>0</v>
      </c>
    </row>
    <row r="413" spans="1:8">
      <c r="A413" s="25" t="s">
        <v>1078</v>
      </c>
      <c r="B413" s="25" t="s">
        <v>2321</v>
      </c>
      <c r="C413" s="25" t="s">
        <v>872</v>
      </c>
      <c r="D413" s="25" t="s">
        <v>162</v>
      </c>
      <c r="E413" s="25" t="s">
        <v>100</v>
      </c>
      <c r="F413" s="26">
        <v>-8477000</v>
      </c>
      <c r="G413" s="15">
        <f t="shared" si="6"/>
        <v>-8477000</v>
      </c>
    </row>
    <row r="414" spans="1:8">
      <c r="A414" s="25" t="s">
        <v>1080</v>
      </c>
      <c r="B414" s="25" t="s">
        <v>1081</v>
      </c>
      <c r="C414" s="25" t="s">
        <v>872</v>
      </c>
      <c r="D414" s="25" t="s">
        <v>169</v>
      </c>
      <c r="E414" s="25" t="s">
        <v>1082</v>
      </c>
      <c r="F414" s="26">
        <v>-9398950</v>
      </c>
      <c r="G414" s="15">
        <f t="shared" si="6"/>
        <v>-9398950</v>
      </c>
    </row>
    <row r="415" spans="1:8">
      <c r="A415" s="25" t="s">
        <v>1083</v>
      </c>
      <c r="B415" s="25" t="s">
        <v>1084</v>
      </c>
      <c r="C415" s="25" t="s">
        <v>872</v>
      </c>
      <c r="D415" s="25" t="s">
        <v>157</v>
      </c>
      <c r="E415" s="25" t="s">
        <v>100</v>
      </c>
      <c r="F415" s="26">
        <v>0</v>
      </c>
      <c r="G415" s="3">
        <f t="shared" si="6"/>
        <v>0</v>
      </c>
    </row>
    <row r="416" spans="1:8">
      <c r="A416" s="25" t="s">
        <v>1085</v>
      </c>
      <c r="B416" s="25" t="s">
        <v>1086</v>
      </c>
      <c r="C416" s="25" t="s">
        <v>872</v>
      </c>
      <c r="D416" s="25" t="s">
        <v>157</v>
      </c>
      <c r="E416" s="25" t="s">
        <v>100</v>
      </c>
      <c r="F416" s="26">
        <v>0</v>
      </c>
      <c r="G416" s="3">
        <f t="shared" si="6"/>
        <v>0</v>
      </c>
    </row>
    <row r="417" spans="1:8">
      <c r="A417" s="25" t="s">
        <v>1087</v>
      </c>
      <c r="B417" s="25" t="s">
        <v>1088</v>
      </c>
      <c r="C417" s="25" t="s">
        <v>872</v>
      </c>
      <c r="D417" s="25" t="s">
        <v>162</v>
      </c>
      <c r="E417" s="25" t="s">
        <v>100</v>
      </c>
      <c r="F417" s="26">
        <v>0</v>
      </c>
      <c r="G417" s="3">
        <f t="shared" si="6"/>
        <v>0</v>
      </c>
    </row>
    <row r="418" spans="1:8">
      <c r="A418" s="25" t="s">
        <v>1089</v>
      </c>
      <c r="B418" s="25" t="s">
        <v>1090</v>
      </c>
      <c r="C418" s="25" t="s">
        <v>872</v>
      </c>
      <c r="D418" s="25" t="s">
        <v>169</v>
      </c>
      <c r="E418" s="25" t="s">
        <v>1091</v>
      </c>
      <c r="F418" s="26">
        <v>0</v>
      </c>
      <c r="G418" s="3">
        <f t="shared" si="6"/>
        <v>0</v>
      </c>
    </row>
    <row r="419" spans="1:8">
      <c r="A419" s="25" t="s">
        <v>1092</v>
      </c>
      <c r="B419" s="25" t="s">
        <v>1093</v>
      </c>
      <c r="C419" s="25" t="s">
        <v>872</v>
      </c>
      <c r="D419" s="25" t="s">
        <v>157</v>
      </c>
      <c r="E419" s="25" t="s">
        <v>100</v>
      </c>
      <c r="F419" s="26">
        <v>0</v>
      </c>
      <c r="G419" s="15">
        <f t="shared" si="6"/>
        <v>0</v>
      </c>
    </row>
    <row r="420" spans="1:8">
      <c r="A420" s="25" t="s">
        <v>1094</v>
      </c>
      <c r="B420" s="25" t="s">
        <v>1095</v>
      </c>
      <c r="C420" s="25" t="s">
        <v>872</v>
      </c>
      <c r="D420" s="25" t="s">
        <v>157</v>
      </c>
      <c r="E420" s="25" t="s">
        <v>100</v>
      </c>
      <c r="F420" s="26">
        <v>0</v>
      </c>
      <c r="G420" s="15">
        <f t="shared" si="6"/>
        <v>0</v>
      </c>
    </row>
    <row r="421" spans="1:8">
      <c r="A421" s="25" t="s">
        <v>1096</v>
      </c>
      <c r="B421" s="25" t="s">
        <v>1097</v>
      </c>
      <c r="C421" s="25" t="s">
        <v>872</v>
      </c>
      <c r="D421" s="25" t="s">
        <v>162</v>
      </c>
      <c r="E421" s="25" t="s">
        <v>100</v>
      </c>
      <c r="F421" s="26">
        <v>0</v>
      </c>
      <c r="G421" s="15">
        <f t="shared" si="6"/>
        <v>0</v>
      </c>
    </row>
    <row r="422" spans="1:8">
      <c r="A422" s="25" t="s">
        <v>1098</v>
      </c>
      <c r="B422" s="25" t="s">
        <v>1099</v>
      </c>
      <c r="C422" s="25" t="s">
        <v>872</v>
      </c>
      <c r="D422" s="25" t="s">
        <v>162</v>
      </c>
      <c r="E422" s="25" t="s">
        <v>100</v>
      </c>
      <c r="F422" s="26">
        <v>0</v>
      </c>
      <c r="G422" s="15">
        <f t="shared" si="6"/>
        <v>0</v>
      </c>
    </row>
    <row r="423" spans="1:8">
      <c r="A423" s="25" t="s">
        <v>1100</v>
      </c>
      <c r="B423" s="25" t="s">
        <v>1101</v>
      </c>
      <c r="C423" s="25" t="s">
        <v>872</v>
      </c>
      <c r="D423" s="25" t="s">
        <v>169</v>
      </c>
      <c r="E423" s="25" t="s">
        <v>1102</v>
      </c>
      <c r="F423" s="26">
        <v>0</v>
      </c>
      <c r="G423" s="15">
        <f t="shared" si="6"/>
        <v>0</v>
      </c>
    </row>
    <row r="424" spans="1:8">
      <c r="A424" s="25" t="s">
        <v>1103</v>
      </c>
      <c r="B424" s="25" t="s">
        <v>1104</v>
      </c>
      <c r="C424" s="25" t="s">
        <v>872</v>
      </c>
      <c r="D424" s="25" t="s">
        <v>157</v>
      </c>
      <c r="E424" s="25" t="s">
        <v>100</v>
      </c>
      <c r="F424" s="26">
        <v>0</v>
      </c>
      <c r="G424" s="15">
        <f t="shared" si="6"/>
        <v>0</v>
      </c>
    </row>
    <row r="425" spans="1:8">
      <c r="A425" s="25" t="s">
        <v>1105</v>
      </c>
      <c r="B425" s="25" t="s">
        <v>155</v>
      </c>
      <c r="C425" s="25" t="s">
        <v>872</v>
      </c>
      <c r="D425" s="25" t="s">
        <v>157</v>
      </c>
      <c r="E425" s="25" t="s">
        <v>100</v>
      </c>
      <c r="F425" s="26">
        <v>0</v>
      </c>
      <c r="G425" s="15">
        <f t="shared" si="6"/>
        <v>0</v>
      </c>
    </row>
    <row r="426" spans="1:8">
      <c r="A426" s="25" t="s">
        <v>1106</v>
      </c>
      <c r="B426" s="25" t="s">
        <v>1107</v>
      </c>
      <c r="C426" s="25" t="s">
        <v>872</v>
      </c>
      <c r="D426" s="25" t="s">
        <v>162</v>
      </c>
      <c r="E426" s="25" t="s">
        <v>100</v>
      </c>
      <c r="F426" s="26">
        <v>-1016988.5</v>
      </c>
      <c r="G426" s="15">
        <f t="shared" si="6"/>
        <v>-1016989</v>
      </c>
    </row>
    <row r="427" spans="1:8">
      <c r="A427" s="25" t="s">
        <v>1108</v>
      </c>
      <c r="B427" s="25" t="s">
        <v>440</v>
      </c>
      <c r="C427" s="25" t="s">
        <v>872</v>
      </c>
      <c r="D427" s="25" t="s">
        <v>162</v>
      </c>
      <c r="E427" s="25" t="s">
        <v>100</v>
      </c>
      <c r="F427" s="26">
        <v>-454153</v>
      </c>
      <c r="G427" s="15">
        <f t="shared" si="6"/>
        <v>-454153</v>
      </c>
    </row>
    <row r="428" spans="1:8">
      <c r="A428" s="25" t="s">
        <v>1109</v>
      </c>
      <c r="B428" s="25" t="s">
        <v>1110</v>
      </c>
      <c r="C428" s="25" t="s">
        <v>872</v>
      </c>
      <c r="D428" s="25" t="s">
        <v>162</v>
      </c>
      <c r="E428" s="25" t="s">
        <v>100</v>
      </c>
      <c r="F428" s="26">
        <v>-44161.5</v>
      </c>
      <c r="G428" s="15">
        <f t="shared" si="6"/>
        <v>-44162</v>
      </c>
    </row>
    <row r="429" spans="1:8">
      <c r="A429" s="25" t="s">
        <v>1111</v>
      </c>
      <c r="B429" s="25" t="s">
        <v>481</v>
      </c>
      <c r="C429" s="25" t="s">
        <v>872</v>
      </c>
      <c r="D429" s="25" t="s">
        <v>162</v>
      </c>
      <c r="E429" s="25" t="s">
        <v>100</v>
      </c>
      <c r="F429" s="26">
        <v>750417.56</v>
      </c>
      <c r="G429" s="15">
        <f t="shared" si="6"/>
        <v>750418</v>
      </c>
    </row>
    <row r="430" spans="1:8">
      <c r="A430" s="25" t="s">
        <v>1112</v>
      </c>
      <c r="B430" s="25" t="s">
        <v>278</v>
      </c>
      <c r="C430" s="25" t="s">
        <v>872</v>
      </c>
      <c r="D430" s="25" t="s">
        <v>169</v>
      </c>
      <c r="E430" s="25" t="s">
        <v>1113</v>
      </c>
      <c r="F430" s="26">
        <v>-764885.44</v>
      </c>
      <c r="G430" s="15">
        <f t="shared" si="6"/>
        <v>-764885</v>
      </c>
    </row>
    <row r="431" spans="1:8">
      <c r="A431" s="25" t="s">
        <v>1114</v>
      </c>
      <c r="B431" s="25" t="s">
        <v>1115</v>
      </c>
      <c r="C431" s="25" t="s">
        <v>872</v>
      </c>
      <c r="D431" s="25" t="s">
        <v>157</v>
      </c>
      <c r="E431" s="25" t="s">
        <v>100</v>
      </c>
      <c r="F431" s="26">
        <v>0</v>
      </c>
      <c r="G431" s="15">
        <f t="shared" si="6"/>
        <v>0</v>
      </c>
    </row>
    <row r="432" spans="1:8">
      <c r="A432" s="25" t="s">
        <v>1116</v>
      </c>
      <c r="B432" s="25" t="s">
        <v>220</v>
      </c>
      <c r="C432" s="25" t="s">
        <v>872</v>
      </c>
      <c r="D432" s="25" t="s">
        <v>162</v>
      </c>
      <c r="E432" s="25" t="s">
        <v>100</v>
      </c>
      <c r="F432" s="26">
        <v>64987.18</v>
      </c>
      <c r="G432" s="15">
        <f t="shared" si="6"/>
        <v>64987</v>
      </c>
      <c r="H432" s="28">
        <v>9936</v>
      </c>
    </row>
    <row r="433" spans="1:7">
      <c r="A433" s="25" t="s">
        <v>1117</v>
      </c>
      <c r="B433" s="25" t="s">
        <v>1118</v>
      </c>
      <c r="C433" s="25" t="s">
        <v>872</v>
      </c>
      <c r="D433" s="25" t="s">
        <v>162</v>
      </c>
      <c r="E433" s="25" t="s">
        <v>100</v>
      </c>
      <c r="F433" s="26">
        <v>18533.7</v>
      </c>
      <c r="G433" s="15">
        <f t="shared" si="6"/>
        <v>18534</v>
      </c>
    </row>
    <row r="434" spans="1:7">
      <c r="A434" s="25" t="s">
        <v>1119</v>
      </c>
      <c r="B434" s="25" t="s">
        <v>1120</v>
      </c>
      <c r="C434" s="25" t="s">
        <v>872</v>
      </c>
      <c r="D434" s="25" t="s">
        <v>162</v>
      </c>
      <c r="E434" s="25" t="s">
        <v>100</v>
      </c>
      <c r="F434" s="26">
        <v>117781.57</v>
      </c>
      <c r="G434" s="15">
        <f t="shared" si="6"/>
        <v>117782</v>
      </c>
    </row>
    <row r="435" spans="1:7">
      <c r="A435" s="25" t="s">
        <v>1121</v>
      </c>
      <c r="B435" s="25" t="s">
        <v>2322</v>
      </c>
      <c r="C435" s="25" t="s">
        <v>872</v>
      </c>
      <c r="D435" s="25" t="s">
        <v>162</v>
      </c>
      <c r="E435" s="25" t="s">
        <v>100</v>
      </c>
      <c r="F435" s="26">
        <v>32421.84</v>
      </c>
      <c r="G435" s="15">
        <f t="shared" si="6"/>
        <v>32422</v>
      </c>
    </row>
    <row r="436" spans="1:7">
      <c r="A436" s="25" t="s">
        <v>1123</v>
      </c>
      <c r="B436" s="25" t="s">
        <v>2323</v>
      </c>
      <c r="C436" s="25" t="s">
        <v>872</v>
      </c>
      <c r="D436" s="25" t="s">
        <v>162</v>
      </c>
      <c r="E436" s="25" t="s">
        <v>100</v>
      </c>
      <c r="F436" s="26">
        <v>5021.6899999999996</v>
      </c>
      <c r="G436" s="15">
        <f t="shared" si="6"/>
        <v>5022</v>
      </c>
    </row>
    <row r="437" spans="1:7">
      <c r="A437" s="25" t="s">
        <v>1125</v>
      </c>
      <c r="B437" s="25" t="s">
        <v>1126</v>
      </c>
      <c r="C437" s="25" t="s">
        <v>872</v>
      </c>
      <c r="D437" s="25" t="s">
        <v>162</v>
      </c>
      <c r="E437" s="25" t="s">
        <v>100</v>
      </c>
      <c r="F437" s="26">
        <v>937.5</v>
      </c>
      <c r="G437" s="15">
        <f t="shared" si="6"/>
        <v>938</v>
      </c>
    </row>
    <row r="438" spans="1:7">
      <c r="A438" s="25" t="s">
        <v>1127</v>
      </c>
      <c r="B438" s="25" t="s">
        <v>1128</v>
      </c>
      <c r="C438" s="25" t="s">
        <v>872</v>
      </c>
      <c r="D438" s="25" t="s">
        <v>162</v>
      </c>
      <c r="E438" s="25" t="s">
        <v>100</v>
      </c>
      <c r="F438" s="26">
        <v>4450</v>
      </c>
      <c r="G438" s="15">
        <f t="shared" si="6"/>
        <v>4450</v>
      </c>
    </row>
    <row r="439" spans="1:7">
      <c r="A439" s="25" t="s">
        <v>1129</v>
      </c>
      <c r="B439" s="25" t="s">
        <v>1130</v>
      </c>
      <c r="C439" s="25" t="s">
        <v>872</v>
      </c>
      <c r="D439" s="25" t="s">
        <v>162</v>
      </c>
      <c r="E439" s="25" t="s">
        <v>100</v>
      </c>
      <c r="F439" s="26">
        <v>0</v>
      </c>
      <c r="G439" s="15">
        <f t="shared" si="6"/>
        <v>0</v>
      </c>
    </row>
    <row r="440" spans="1:7">
      <c r="A440" s="25" t="s">
        <v>1131</v>
      </c>
      <c r="B440" s="25" t="s">
        <v>1132</v>
      </c>
      <c r="C440" s="25" t="s">
        <v>872</v>
      </c>
      <c r="D440" s="25" t="s">
        <v>162</v>
      </c>
      <c r="E440" s="25" t="s">
        <v>100</v>
      </c>
      <c r="F440" s="26">
        <v>6365.57</v>
      </c>
      <c r="G440" s="15">
        <f t="shared" si="6"/>
        <v>6366</v>
      </c>
    </row>
    <row r="441" spans="1:7">
      <c r="A441" s="25" t="s">
        <v>1133</v>
      </c>
      <c r="B441" s="25" t="s">
        <v>1134</v>
      </c>
      <c r="C441" s="25" t="s">
        <v>872</v>
      </c>
      <c r="D441" s="25" t="s">
        <v>162</v>
      </c>
      <c r="E441" s="25" t="s">
        <v>100</v>
      </c>
      <c r="F441" s="26">
        <v>15834.1</v>
      </c>
      <c r="G441" s="15">
        <f t="shared" si="6"/>
        <v>15834</v>
      </c>
    </row>
    <row r="442" spans="1:7">
      <c r="A442" s="25" t="s">
        <v>1135</v>
      </c>
      <c r="B442" s="25" t="s">
        <v>1136</v>
      </c>
      <c r="C442" s="25" t="s">
        <v>872</v>
      </c>
      <c r="D442" s="25" t="s">
        <v>162</v>
      </c>
      <c r="E442" s="25" t="s">
        <v>100</v>
      </c>
      <c r="F442" s="26">
        <v>1622.45</v>
      </c>
      <c r="G442" s="15">
        <f t="shared" si="6"/>
        <v>1622</v>
      </c>
    </row>
    <row r="443" spans="1:7">
      <c r="A443" s="25" t="s">
        <v>1137</v>
      </c>
      <c r="B443" s="25" t="s">
        <v>1138</v>
      </c>
      <c r="C443" s="25" t="s">
        <v>872</v>
      </c>
      <c r="D443" s="25" t="s">
        <v>162</v>
      </c>
      <c r="E443" s="25" t="s">
        <v>100</v>
      </c>
      <c r="F443" s="26">
        <v>858</v>
      </c>
      <c r="G443" s="15">
        <f t="shared" si="6"/>
        <v>858</v>
      </c>
    </row>
    <row r="444" spans="1:7">
      <c r="A444" s="25" t="s">
        <v>1139</v>
      </c>
      <c r="B444" s="25" t="s">
        <v>1140</v>
      </c>
      <c r="C444" s="25" t="s">
        <v>872</v>
      </c>
      <c r="D444" s="25" t="s">
        <v>162</v>
      </c>
      <c r="E444" s="25" t="s">
        <v>100</v>
      </c>
      <c r="F444" s="26">
        <v>163</v>
      </c>
      <c r="G444" s="15">
        <f t="shared" si="6"/>
        <v>163</v>
      </c>
    </row>
    <row r="445" spans="1:7">
      <c r="A445" s="25" t="s">
        <v>1141</v>
      </c>
      <c r="B445" s="25" t="s">
        <v>748</v>
      </c>
      <c r="C445" s="25" t="s">
        <v>872</v>
      </c>
      <c r="D445" s="25" t="s">
        <v>162</v>
      </c>
      <c r="E445" s="25" t="s">
        <v>100</v>
      </c>
      <c r="F445" s="26">
        <v>38442.620000000003</v>
      </c>
      <c r="G445" s="15">
        <f t="shared" si="6"/>
        <v>38443</v>
      </c>
    </row>
    <row r="446" spans="1:7">
      <c r="A446" s="25" t="s">
        <v>1143</v>
      </c>
      <c r="B446" s="25" t="s">
        <v>1144</v>
      </c>
      <c r="C446" s="25" t="s">
        <v>872</v>
      </c>
      <c r="D446" s="25" t="s">
        <v>162</v>
      </c>
      <c r="E446" s="25" t="s">
        <v>100</v>
      </c>
      <c r="F446" s="26">
        <v>990.32</v>
      </c>
      <c r="G446" s="15">
        <f t="shared" si="6"/>
        <v>990</v>
      </c>
    </row>
    <row r="447" spans="1:7">
      <c r="A447" s="25" t="s">
        <v>1145</v>
      </c>
      <c r="B447" s="25" t="s">
        <v>1146</v>
      </c>
      <c r="C447" s="25" t="s">
        <v>872</v>
      </c>
      <c r="D447" s="25" t="s">
        <v>162</v>
      </c>
      <c r="E447" s="25" t="s">
        <v>100</v>
      </c>
      <c r="F447" s="26">
        <v>16635</v>
      </c>
      <c r="G447" s="15">
        <f t="shared" si="6"/>
        <v>16635</v>
      </c>
    </row>
    <row r="448" spans="1:7">
      <c r="A448" s="25" t="s">
        <v>1147</v>
      </c>
      <c r="B448" s="25" t="s">
        <v>1148</v>
      </c>
      <c r="C448" s="25" t="s">
        <v>872</v>
      </c>
      <c r="D448" s="25" t="s">
        <v>162</v>
      </c>
      <c r="E448" s="25" t="s">
        <v>100</v>
      </c>
      <c r="F448" s="26">
        <v>0</v>
      </c>
      <c r="G448" s="15">
        <f t="shared" si="6"/>
        <v>0</v>
      </c>
    </row>
    <row r="449" spans="1:7">
      <c r="A449" s="25" t="s">
        <v>1149</v>
      </c>
      <c r="B449" s="25" t="s">
        <v>1150</v>
      </c>
      <c r="C449" s="25" t="s">
        <v>872</v>
      </c>
      <c r="D449" s="25" t="s">
        <v>162</v>
      </c>
      <c r="E449" s="25" t="s">
        <v>100</v>
      </c>
      <c r="F449" s="26">
        <v>0</v>
      </c>
      <c r="G449" s="15">
        <f t="shared" si="6"/>
        <v>0</v>
      </c>
    </row>
    <row r="450" spans="1:7">
      <c r="A450" s="25" t="s">
        <v>1151</v>
      </c>
      <c r="B450" s="25" t="s">
        <v>1152</v>
      </c>
      <c r="C450" s="25" t="s">
        <v>872</v>
      </c>
      <c r="D450" s="25" t="s">
        <v>169</v>
      </c>
      <c r="E450" s="25" t="s">
        <v>1153</v>
      </c>
      <c r="F450" s="26">
        <v>325044.53999999998</v>
      </c>
      <c r="G450" s="15">
        <f t="shared" si="6"/>
        <v>325045</v>
      </c>
    </row>
    <row r="451" spans="1:7">
      <c r="A451" s="25" t="s">
        <v>1154</v>
      </c>
      <c r="B451" s="25" t="s">
        <v>1155</v>
      </c>
      <c r="C451" s="25" t="s">
        <v>872</v>
      </c>
      <c r="D451" s="25" t="s">
        <v>169</v>
      </c>
      <c r="E451" s="25" t="s">
        <v>1156</v>
      </c>
      <c r="F451" s="26">
        <v>-439840.9</v>
      </c>
      <c r="G451" s="15">
        <f t="shared" si="6"/>
        <v>-439841</v>
      </c>
    </row>
    <row r="452" spans="1:7">
      <c r="A452" s="25" t="s">
        <v>1157</v>
      </c>
      <c r="B452" s="25" t="s">
        <v>1158</v>
      </c>
      <c r="C452" s="25" t="s">
        <v>872</v>
      </c>
      <c r="D452" s="25" t="s">
        <v>169</v>
      </c>
      <c r="E452" s="25" t="s">
        <v>1159</v>
      </c>
      <c r="F452" s="26">
        <v>-439840.9</v>
      </c>
      <c r="G452" s="15">
        <f t="shared" si="6"/>
        <v>-439841</v>
      </c>
    </row>
    <row r="453" spans="1:7">
      <c r="A453" s="25" t="s">
        <v>1160</v>
      </c>
      <c r="B453" s="25" t="s">
        <v>1161</v>
      </c>
      <c r="C453" s="25" t="s">
        <v>872</v>
      </c>
      <c r="D453" s="25" t="s">
        <v>157</v>
      </c>
      <c r="E453" s="25" t="s">
        <v>100</v>
      </c>
      <c r="F453" s="26">
        <v>0</v>
      </c>
      <c r="G453" s="3">
        <f t="shared" ref="G453:G516" si="7">ROUND(F453,0)</f>
        <v>0</v>
      </c>
    </row>
    <row r="454" spans="1:7">
      <c r="A454" s="25" t="s">
        <v>1162</v>
      </c>
      <c r="B454" s="25" t="s">
        <v>1163</v>
      </c>
      <c r="C454" s="25" t="s">
        <v>872</v>
      </c>
      <c r="D454" s="25" t="s">
        <v>162</v>
      </c>
      <c r="E454" s="25" t="s">
        <v>100</v>
      </c>
      <c r="F454" s="26">
        <v>0</v>
      </c>
      <c r="G454" s="3">
        <f t="shared" si="7"/>
        <v>0</v>
      </c>
    </row>
    <row r="455" spans="1:7">
      <c r="A455" s="25" t="s">
        <v>1164</v>
      </c>
      <c r="B455" s="25" t="s">
        <v>1165</v>
      </c>
      <c r="C455" s="25" t="s">
        <v>872</v>
      </c>
      <c r="D455" s="25" t="s">
        <v>162</v>
      </c>
      <c r="E455" s="25" t="s">
        <v>100</v>
      </c>
      <c r="F455" s="26">
        <v>-240</v>
      </c>
      <c r="G455" s="3">
        <f t="shared" si="7"/>
        <v>-240</v>
      </c>
    </row>
    <row r="456" spans="1:7">
      <c r="A456" s="25" t="s">
        <v>1166</v>
      </c>
      <c r="B456" s="25" t="s">
        <v>1167</v>
      </c>
      <c r="C456" s="25" t="s">
        <v>872</v>
      </c>
      <c r="D456" s="25" t="s">
        <v>162</v>
      </c>
      <c r="E456" s="25" t="s">
        <v>100</v>
      </c>
      <c r="F456" s="26">
        <v>-30890</v>
      </c>
      <c r="G456" s="3">
        <f t="shared" si="7"/>
        <v>-30890</v>
      </c>
    </row>
    <row r="457" spans="1:7">
      <c r="A457" s="25" t="s">
        <v>1168</v>
      </c>
      <c r="B457" s="25" t="s">
        <v>1169</v>
      </c>
      <c r="C457" s="25" t="s">
        <v>872</v>
      </c>
      <c r="D457" s="25" t="s">
        <v>162</v>
      </c>
      <c r="E457" s="25" t="s">
        <v>100</v>
      </c>
      <c r="F457" s="26">
        <v>-41760</v>
      </c>
      <c r="G457" s="3">
        <f t="shared" si="7"/>
        <v>-41760</v>
      </c>
    </row>
    <row r="458" spans="1:7">
      <c r="A458" s="25" t="s">
        <v>1170</v>
      </c>
      <c r="B458" s="25" t="s">
        <v>1171</v>
      </c>
      <c r="C458" s="25" t="s">
        <v>872</v>
      </c>
      <c r="D458" s="25" t="s">
        <v>162</v>
      </c>
      <c r="E458" s="25" t="s">
        <v>100</v>
      </c>
      <c r="F458" s="26">
        <v>0</v>
      </c>
      <c r="G458" s="3">
        <f t="shared" si="7"/>
        <v>0</v>
      </c>
    </row>
    <row r="459" spans="1:7">
      <c r="A459" s="25" t="s">
        <v>1172</v>
      </c>
      <c r="B459" s="25" t="s">
        <v>1173</v>
      </c>
      <c r="C459" s="25" t="s">
        <v>872</v>
      </c>
      <c r="D459" s="25" t="s">
        <v>162</v>
      </c>
      <c r="E459" s="25" t="s">
        <v>100</v>
      </c>
      <c r="F459" s="26">
        <v>0</v>
      </c>
      <c r="G459" s="3">
        <f t="shared" si="7"/>
        <v>0</v>
      </c>
    </row>
    <row r="460" spans="1:7">
      <c r="A460" s="25" t="s">
        <v>1174</v>
      </c>
      <c r="B460" s="25" t="s">
        <v>1175</v>
      </c>
      <c r="C460" s="25" t="s">
        <v>872</v>
      </c>
      <c r="D460" s="25" t="s">
        <v>162</v>
      </c>
      <c r="E460" s="25" t="s">
        <v>100</v>
      </c>
      <c r="F460" s="26">
        <v>-1080</v>
      </c>
      <c r="G460" s="3">
        <f t="shared" si="7"/>
        <v>-1080</v>
      </c>
    </row>
    <row r="461" spans="1:7">
      <c r="A461" s="25" t="s">
        <v>1176</v>
      </c>
      <c r="B461" s="25" t="s">
        <v>1177</v>
      </c>
      <c r="C461" s="25" t="s">
        <v>872</v>
      </c>
      <c r="D461" s="25" t="s">
        <v>162</v>
      </c>
      <c r="E461" s="25" t="s">
        <v>100</v>
      </c>
      <c r="F461" s="26">
        <v>-928</v>
      </c>
      <c r="G461" s="3">
        <f t="shared" si="7"/>
        <v>-928</v>
      </c>
    </row>
    <row r="462" spans="1:7">
      <c r="A462" s="25" t="s">
        <v>1178</v>
      </c>
      <c r="B462" s="25" t="s">
        <v>928</v>
      </c>
      <c r="C462" s="25" t="s">
        <v>872</v>
      </c>
      <c r="D462" s="25" t="s">
        <v>162</v>
      </c>
      <c r="E462" s="25" t="s">
        <v>100</v>
      </c>
      <c r="F462" s="26">
        <v>0</v>
      </c>
      <c r="G462" s="3">
        <f t="shared" si="7"/>
        <v>0</v>
      </c>
    </row>
    <row r="463" spans="1:7">
      <c r="A463" s="25" t="s">
        <v>1180</v>
      </c>
      <c r="B463" s="25" t="s">
        <v>1181</v>
      </c>
      <c r="C463" s="25" t="s">
        <v>872</v>
      </c>
      <c r="D463" s="25" t="s">
        <v>162</v>
      </c>
      <c r="E463" s="25" t="s">
        <v>100</v>
      </c>
      <c r="F463" s="26">
        <v>-11821.42</v>
      </c>
      <c r="G463" s="15">
        <f t="shared" si="7"/>
        <v>-11821</v>
      </c>
    </row>
    <row r="464" spans="1:7">
      <c r="A464" s="25" t="s">
        <v>1182</v>
      </c>
      <c r="B464" s="25" t="s">
        <v>2222</v>
      </c>
      <c r="C464" s="25" t="s">
        <v>872</v>
      </c>
      <c r="D464" s="25" t="s">
        <v>162</v>
      </c>
      <c r="E464" s="25" t="s">
        <v>100</v>
      </c>
      <c r="F464" s="26">
        <v>61291.08</v>
      </c>
      <c r="G464" s="15">
        <f t="shared" si="7"/>
        <v>61291</v>
      </c>
    </row>
    <row r="465" spans="1:10">
      <c r="A465" s="25" t="s">
        <v>1186</v>
      </c>
      <c r="B465" s="25" t="s">
        <v>1187</v>
      </c>
      <c r="C465" s="25" t="s">
        <v>872</v>
      </c>
      <c r="D465" s="25" t="s">
        <v>162</v>
      </c>
      <c r="E465" s="25" t="s">
        <v>100</v>
      </c>
      <c r="F465" s="26">
        <v>0</v>
      </c>
      <c r="G465" s="15">
        <f t="shared" si="7"/>
        <v>0</v>
      </c>
    </row>
    <row r="466" spans="1:10">
      <c r="A466" s="25" t="s">
        <v>1188</v>
      </c>
      <c r="B466" s="25" t="s">
        <v>2180</v>
      </c>
      <c r="C466" s="25" t="s">
        <v>872</v>
      </c>
      <c r="D466" s="25" t="s">
        <v>162</v>
      </c>
      <c r="E466" s="25" t="s">
        <v>100</v>
      </c>
      <c r="F466" s="26">
        <v>0</v>
      </c>
      <c r="G466" s="15">
        <f t="shared" si="7"/>
        <v>0</v>
      </c>
    </row>
    <row r="467" spans="1:10">
      <c r="A467" s="25" t="s">
        <v>1190</v>
      </c>
      <c r="B467" s="25" t="s">
        <v>1191</v>
      </c>
      <c r="C467" s="25" t="s">
        <v>872</v>
      </c>
      <c r="D467" s="25" t="s">
        <v>162</v>
      </c>
      <c r="E467" s="25" t="s">
        <v>100</v>
      </c>
      <c r="F467" s="26">
        <v>-390612.18</v>
      </c>
      <c r="G467" s="15">
        <f t="shared" si="7"/>
        <v>-390612</v>
      </c>
    </row>
    <row r="468" spans="1:10">
      <c r="A468" s="25" t="s">
        <v>1192</v>
      </c>
      <c r="B468" s="25" t="s">
        <v>1193</v>
      </c>
      <c r="C468" s="25" t="s">
        <v>872</v>
      </c>
      <c r="D468" s="25" t="s">
        <v>162</v>
      </c>
      <c r="E468" s="25" t="s">
        <v>100</v>
      </c>
      <c r="F468" s="26">
        <v>27431.02</v>
      </c>
      <c r="G468" s="15">
        <f t="shared" si="7"/>
        <v>27431</v>
      </c>
      <c r="J468" s="3">
        <f>+F349+F455+F456+F457+F460+F461+F469+F474+F484+F493+F586+F571+F577+H488+H491+H470</f>
        <v>-3532837.1500000004</v>
      </c>
    </row>
    <row r="469" spans="1:10">
      <c r="A469" s="25" t="s">
        <v>1194</v>
      </c>
      <c r="B469" s="25" t="s">
        <v>2181</v>
      </c>
      <c r="C469" s="25" t="s">
        <v>872</v>
      </c>
      <c r="D469" s="25" t="s">
        <v>162</v>
      </c>
      <c r="E469" s="25" t="s">
        <v>100</v>
      </c>
      <c r="F469" s="26">
        <v>-38877.64</v>
      </c>
      <c r="G469" s="3">
        <f t="shared" si="7"/>
        <v>-38878</v>
      </c>
    </row>
    <row r="470" spans="1:10">
      <c r="A470" s="25" t="s">
        <v>1196</v>
      </c>
      <c r="B470" s="25" t="s">
        <v>2223</v>
      </c>
      <c r="C470" s="25" t="s">
        <v>872</v>
      </c>
      <c r="D470" s="25" t="s">
        <v>162</v>
      </c>
      <c r="E470" s="25" t="s">
        <v>100</v>
      </c>
      <c r="F470" s="26">
        <v>0</v>
      </c>
      <c r="G470" s="3">
        <f t="shared" si="7"/>
        <v>0</v>
      </c>
      <c r="H470" s="28">
        <v>-800</v>
      </c>
    </row>
    <row r="471" spans="1:10">
      <c r="A471" s="25" t="s">
        <v>1200</v>
      </c>
      <c r="B471" s="25" t="s">
        <v>1201</v>
      </c>
      <c r="C471" s="25" t="s">
        <v>872</v>
      </c>
      <c r="D471" s="25" t="s">
        <v>169</v>
      </c>
      <c r="E471" s="25" t="s">
        <v>1202</v>
      </c>
      <c r="F471" s="26">
        <v>-427487.14</v>
      </c>
      <c r="G471" s="3">
        <f t="shared" si="7"/>
        <v>-427487</v>
      </c>
    </row>
    <row r="472" spans="1:10">
      <c r="A472" s="25" t="s">
        <v>1203</v>
      </c>
      <c r="B472" s="25" t="s">
        <v>1204</v>
      </c>
      <c r="C472" s="25" t="s">
        <v>872</v>
      </c>
      <c r="D472" s="25" t="s">
        <v>157</v>
      </c>
      <c r="E472" s="25" t="s">
        <v>100</v>
      </c>
      <c r="F472" s="26">
        <v>0</v>
      </c>
      <c r="G472" s="3">
        <f t="shared" si="7"/>
        <v>0</v>
      </c>
    </row>
    <row r="473" spans="1:10">
      <c r="A473" s="25" t="s">
        <v>1205</v>
      </c>
      <c r="B473" s="25" t="s">
        <v>1206</v>
      </c>
      <c r="C473" s="25" t="s">
        <v>872</v>
      </c>
      <c r="D473" s="25" t="s">
        <v>162</v>
      </c>
      <c r="E473" s="25" t="s">
        <v>100</v>
      </c>
      <c r="F473" s="26">
        <v>-513118.58</v>
      </c>
      <c r="G473" s="3">
        <f t="shared" si="7"/>
        <v>-513119</v>
      </c>
    </row>
    <row r="474" spans="1:10">
      <c r="A474" s="25" t="s">
        <v>1207</v>
      </c>
      <c r="B474" s="25" t="s">
        <v>1208</v>
      </c>
      <c r="C474" s="25" t="s">
        <v>872</v>
      </c>
      <c r="D474" s="25" t="s">
        <v>169</v>
      </c>
      <c r="E474" s="25" t="s">
        <v>1209</v>
      </c>
      <c r="F474" s="26">
        <v>-513118.58</v>
      </c>
      <c r="G474" s="3">
        <f t="shared" si="7"/>
        <v>-513119</v>
      </c>
    </row>
    <row r="475" spans="1:10">
      <c r="A475" s="25" t="s">
        <v>1210</v>
      </c>
      <c r="B475" s="25" t="s">
        <v>1211</v>
      </c>
      <c r="C475" s="25" t="s">
        <v>872</v>
      </c>
      <c r="D475" s="25" t="s">
        <v>157</v>
      </c>
      <c r="E475" s="25" t="s">
        <v>100</v>
      </c>
      <c r="F475" s="26">
        <v>0</v>
      </c>
      <c r="G475" s="3">
        <f t="shared" si="7"/>
        <v>0</v>
      </c>
    </row>
    <row r="476" spans="1:10">
      <c r="A476" s="25" t="s">
        <v>1212</v>
      </c>
      <c r="B476" s="25" t="s">
        <v>1213</v>
      </c>
      <c r="C476" s="25" t="s">
        <v>872</v>
      </c>
      <c r="D476" s="25" t="s">
        <v>162</v>
      </c>
      <c r="E476" s="25" t="s">
        <v>100</v>
      </c>
      <c r="F476" s="26">
        <v>45752</v>
      </c>
      <c r="G476" s="3">
        <f t="shared" si="7"/>
        <v>45752</v>
      </c>
    </row>
    <row r="477" spans="1:10">
      <c r="A477" s="25" t="s">
        <v>1214</v>
      </c>
      <c r="B477" s="25" t="s">
        <v>1215</v>
      </c>
      <c r="C477" s="25" t="s">
        <v>872</v>
      </c>
      <c r="D477" s="25" t="s">
        <v>162</v>
      </c>
      <c r="E477" s="25" t="s">
        <v>100</v>
      </c>
      <c r="F477" s="26">
        <v>12548</v>
      </c>
      <c r="G477" s="3">
        <f t="shared" si="7"/>
        <v>12548</v>
      </c>
    </row>
    <row r="478" spans="1:10">
      <c r="A478" s="25" t="s">
        <v>1216</v>
      </c>
      <c r="B478" s="25" t="s">
        <v>1217</v>
      </c>
      <c r="C478" s="25" t="s">
        <v>872</v>
      </c>
      <c r="D478" s="25" t="s">
        <v>162</v>
      </c>
      <c r="E478" s="25" t="s">
        <v>100</v>
      </c>
      <c r="F478" s="26">
        <v>-16438.57</v>
      </c>
      <c r="G478" s="3">
        <f t="shared" si="7"/>
        <v>-16439</v>
      </c>
    </row>
    <row r="479" spans="1:10">
      <c r="A479" s="25" t="s">
        <v>1218</v>
      </c>
      <c r="B479" s="25" t="s">
        <v>1219</v>
      </c>
      <c r="C479" s="25" t="s">
        <v>872</v>
      </c>
      <c r="D479" s="25" t="s">
        <v>162</v>
      </c>
      <c r="E479" s="25" t="s">
        <v>100</v>
      </c>
      <c r="F479" s="26">
        <v>-23940.07</v>
      </c>
      <c r="G479" s="3">
        <f t="shared" si="7"/>
        <v>-23940</v>
      </c>
    </row>
    <row r="480" spans="1:10">
      <c r="A480" s="25" t="s">
        <v>1220</v>
      </c>
      <c r="B480" s="25" t="s">
        <v>1221</v>
      </c>
      <c r="C480" s="25" t="s">
        <v>872</v>
      </c>
      <c r="D480" s="25" t="s">
        <v>162</v>
      </c>
      <c r="E480" s="25" t="s">
        <v>100</v>
      </c>
      <c r="F480" s="26">
        <v>-99633.79</v>
      </c>
      <c r="G480" s="3">
        <f t="shared" si="7"/>
        <v>-99634</v>
      </c>
    </row>
    <row r="481" spans="1:8">
      <c r="A481" s="25" t="s">
        <v>1222</v>
      </c>
      <c r="B481" s="25" t="s">
        <v>1223</v>
      </c>
      <c r="C481" s="25" t="s">
        <v>872</v>
      </c>
      <c r="D481" s="25" t="s">
        <v>162</v>
      </c>
      <c r="E481" s="25" t="s">
        <v>100</v>
      </c>
      <c r="F481" s="26">
        <v>-61165.86</v>
      </c>
      <c r="G481" s="3">
        <f t="shared" si="7"/>
        <v>-61166</v>
      </c>
    </row>
    <row r="482" spans="1:8">
      <c r="A482" s="25" t="s">
        <v>1224</v>
      </c>
      <c r="B482" s="25" t="s">
        <v>1225</v>
      </c>
      <c r="C482" s="25" t="s">
        <v>872</v>
      </c>
      <c r="D482" s="25" t="s">
        <v>162</v>
      </c>
      <c r="E482" s="25" t="s">
        <v>100</v>
      </c>
      <c r="F482" s="26">
        <v>0</v>
      </c>
      <c r="G482" s="3">
        <f t="shared" si="7"/>
        <v>0</v>
      </c>
    </row>
    <row r="483" spans="1:8">
      <c r="A483" s="25" t="s">
        <v>1226</v>
      </c>
      <c r="B483" s="25" t="s">
        <v>1227</v>
      </c>
      <c r="C483" s="25" t="s">
        <v>872</v>
      </c>
      <c r="D483" s="25" t="s">
        <v>162</v>
      </c>
      <c r="E483" s="25" t="s">
        <v>100</v>
      </c>
      <c r="F483" s="26">
        <v>10389</v>
      </c>
      <c r="G483" s="3">
        <f t="shared" si="7"/>
        <v>10389</v>
      </c>
    </row>
    <row r="484" spans="1:8">
      <c r="A484" s="25" t="s">
        <v>1228</v>
      </c>
      <c r="B484" s="25" t="s">
        <v>1229</v>
      </c>
      <c r="C484" s="25" t="s">
        <v>872</v>
      </c>
      <c r="D484" s="25" t="s">
        <v>169</v>
      </c>
      <c r="E484" s="25" t="s">
        <v>1230</v>
      </c>
      <c r="F484" s="26">
        <v>-132489.29</v>
      </c>
      <c r="G484" s="3">
        <f t="shared" si="7"/>
        <v>-132489</v>
      </c>
    </row>
    <row r="485" spans="1:8">
      <c r="A485" s="25" t="s">
        <v>1231</v>
      </c>
      <c r="B485" s="25" t="s">
        <v>1232</v>
      </c>
      <c r="C485" s="25" t="s">
        <v>872</v>
      </c>
      <c r="D485" s="25" t="s">
        <v>157</v>
      </c>
      <c r="E485" s="25" t="s">
        <v>100</v>
      </c>
      <c r="F485" s="26">
        <v>0</v>
      </c>
      <c r="G485" s="3">
        <f t="shared" si="7"/>
        <v>0</v>
      </c>
    </row>
    <row r="486" spans="1:8">
      <c r="A486" s="25" t="s">
        <v>1233</v>
      </c>
      <c r="B486" s="25" t="s">
        <v>1234</v>
      </c>
      <c r="C486" s="25" t="s">
        <v>872</v>
      </c>
      <c r="D486" s="25" t="s">
        <v>162</v>
      </c>
      <c r="E486" s="25" t="s">
        <v>100</v>
      </c>
      <c r="F486" s="26">
        <v>-4411.0200000000004</v>
      </c>
      <c r="G486" s="3">
        <f t="shared" si="7"/>
        <v>-4411</v>
      </c>
    </row>
    <row r="487" spans="1:8">
      <c r="A487" s="25" t="s">
        <v>1235</v>
      </c>
      <c r="B487" s="25" t="s">
        <v>1236</v>
      </c>
      <c r="C487" s="25" t="s">
        <v>872</v>
      </c>
      <c r="D487" s="25" t="s">
        <v>162</v>
      </c>
      <c r="E487" s="25" t="s">
        <v>100</v>
      </c>
      <c r="F487" s="26">
        <v>-624.66</v>
      </c>
      <c r="G487" s="3">
        <f t="shared" si="7"/>
        <v>-625</v>
      </c>
    </row>
    <row r="488" spans="1:8">
      <c r="A488" s="25" t="s">
        <v>1239</v>
      </c>
      <c r="B488" s="25" t="s">
        <v>1240</v>
      </c>
      <c r="C488" s="25" t="s">
        <v>872</v>
      </c>
      <c r="D488" s="25" t="s">
        <v>162</v>
      </c>
      <c r="E488" s="25" t="s">
        <v>100</v>
      </c>
      <c r="F488" s="26">
        <v>-66084.69</v>
      </c>
      <c r="G488" s="3">
        <f t="shared" si="7"/>
        <v>-66085</v>
      </c>
      <c r="H488" s="28">
        <f>-51750-17346-420-420-752-4595</f>
        <v>-75283</v>
      </c>
    </row>
    <row r="489" spans="1:8">
      <c r="A489" s="25" t="s">
        <v>1241</v>
      </c>
      <c r="B489" s="25" t="s">
        <v>2207</v>
      </c>
      <c r="C489" s="25" t="s">
        <v>872</v>
      </c>
      <c r="D489" s="25" t="s">
        <v>162</v>
      </c>
      <c r="E489" s="25" t="s">
        <v>100</v>
      </c>
      <c r="F489" s="26">
        <v>-239720.56</v>
      </c>
      <c r="G489" s="3">
        <f t="shared" si="7"/>
        <v>-239721</v>
      </c>
    </row>
    <row r="490" spans="1:8">
      <c r="A490" s="25" t="s">
        <v>1243</v>
      </c>
      <c r="B490" s="25" t="s">
        <v>1244</v>
      </c>
      <c r="C490" s="25" t="s">
        <v>872</v>
      </c>
      <c r="D490" s="25" t="s">
        <v>162</v>
      </c>
      <c r="E490" s="25" t="s">
        <v>100</v>
      </c>
      <c r="F490" s="26">
        <v>0</v>
      </c>
      <c r="G490" s="3">
        <f t="shared" si="7"/>
        <v>0</v>
      </c>
    </row>
    <row r="491" spans="1:8">
      <c r="A491" s="25" t="s">
        <v>1245</v>
      </c>
      <c r="B491" s="25" t="s">
        <v>1246</v>
      </c>
      <c r="C491" s="25" t="s">
        <v>872</v>
      </c>
      <c r="D491" s="25" t="s">
        <v>162</v>
      </c>
      <c r="E491" s="25" t="s">
        <v>100</v>
      </c>
      <c r="F491" s="26">
        <v>-10375</v>
      </c>
      <c r="G491" s="3">
        <f t="shared" si="7"/>
        <v>-10375</v>
      </c>
      <c r="H491" s="28">
        <v>-920000</v>
      </c>
    </row>
    <row r="492" spans="1:8">
      <c r="A492" s="25" t="s">
        <v>1247</v>
      </c>
      <c r="B492" s="25" t="s">
        <v>1248</v>
      </c>
      <c r="C492" s="25" t="s">
        <v>872</v>
      </c>
      <c r="D492" s="25" t="s">
        <v>162</v>
      </c>
      <c r="E492" s="25" t="s">
        <v>100</v>
      </c>
      <c r="F492" s="26">
        <v>0</v>
      </c>
      <c r="G492" s="3">
        <f t="shared" si="7"/>
        <v>0</v>
      </c>
    </row>
    <row r="493" spans="1:8">
      <c r="A493" s="25" t="s">
        <v>1249</v>
      </c>
      <c r="B493" s="25" t="s">
        <v>1250</v>
      </c>
      <c r="C493" s="25" t="s">
        <v>872</v>
      </c>
      <c r="D493" s="25" t="s">
        <v>169</v>
      </c>
      <c r="E493" s="25" t="s">
        <v>1251</v>
      </c>
      <c r="F493" s="26">
        <v>-321215.93</v>
      </c>
      <c r="G493" s="3">
        <f t="shared" si="7"/>
        <v>-321216</v>
      </c>
    </row>
    <row r="494" spans="1:8">
      <c r="A494" s="25" t="s">
        <v>1252</v>
      </c>
      <c r="B494" s="25" t="s">
        <v>1253</v>
      </c>
      <c r="C494" s="25" t="s">
        <v>156</v>
      </c>
      <c r="D494" s="25" t="s">
        <v>157</v>
      </c>
      <c r="E494" s="25" t="s">
        <v>100</v>
      </c>
      <c r="F494" s="26">
        <v>0</v>
      </c>
      <c r="G494" s="3">
        <f t="shared" si="7"/>
        <v>0</v>
      </c>
    </row>
    <row r="495" spans="1:8">
      <c r="A495" s="25" t="s">
        <v>1254</v>
      </c>
      <c r="B495" s="25" t="s">
        <v>155</v>
      </c>
      <c r="C495" s="25" t="s">
        <v>156</v>
      </c>
      <c r="D495" s="25" t="s">
        <v>157</v>
      </c>
      <c r="E495" s="25" t="s">
        <v>100</v>
      </c>
      <c r="F495" s="26">
        <v>0</v>
      </c>
      <c r="G495" s="3">
        <f t="shared" si="7"/>
        <v>0</v>
      </c>
    </row>
    <row r="496" spans="1:8">
      <c r="A496" s="25" t="s">
        <v>1255</v>
      </c>
      <c r="B496" s="25" t="s">
        <v>1256</v>
      </c>
      <c r="C496" s="25" t="s">
        <v>156</v>
      </c>
      <c r="D496" s="25" t="s">
        <v>157</v>
      </c>
      <c r="E496" s="25" t="s">
        <v>100</v>
      </c>
      <c r="F496" s="26">
        <v>0</v>
      </c>
      <c r="G496" s="3">
        <f t="shared" si="7"/>
        <v>0</v>
      </c>
    </row>
    <row r="497" spans="1:7">
      <c r="A497" s="25" t="s">
        <v>1257</v>
      </c>
      <c r="B497" s="25" t="s">
        <v>1258</v>
      </c>
      <c r="C497" s="25" t="s">
        <v>156</v>
      </c>
      <c r="D497" s="25" t="s">
        <v>162</v>
      </c>
      <c r="E497" s="25" t="s">
        <v>100</v>
      </c>
      <c r="F497" s="26">
        <v>0</v>
      </c>
      <c r="G497" s="3">
        <f t="shared" si="7"/>
        <v>0</v>
      </c>
    </row>
    <row r="498" spans="1:7">
      <c r="A498" s="25" t="s">
        <v>1259</v>
      </c>
      <c r="B498" s="25" t="s">
        <v>1260</v>
      </c>
      <c r="C498" s="25" t="s">
        <v>156</v>
      </c>
      <c r="D498" s="25" t="s">
        <v>162</v>
      </c>
      <c r="E498" s="25" t="s">
        <v>100</v>
      </c>
      <c r="F498" s="26">
        <v>1395</v>
      </c>
      <c r="G498" s="3">
        <f t="shared" si="7"/>
        <v>1395</v>
      </c>
    </row>
    <row r="499" spans="1:7">
      <c r="A499" s="25" t="s">
        <v>1261</v>
      </c>
      <c r="B499" s="25" t="s">
        <v>2284</v>
      </c>
      <c r="C499" s="25" t="s">
        <v>156</v>
      </c>
      <c r="D499" s="25" t="s">
        <v>162</v>
      </c>
      <c r="E499" s="25" t="s">
        <v>100</v>
      </c>
      <c r="F499" s="26">
        <v>0</v>
      </c>
      <c r="G499" s="3">
        <f t="shared" si="7"/>
        <v>0</v>
      </c>
    </row>
    <row r="500" spans="1:7">
      <c r="A500" s="25" t="s">
        <v>1263</v>
      </c>
      <c r="B500" s="25" t="s">
        <v>1264</v>
      </c>
      <c r="C500" s="25" t="s">
        <v>156</v>
      </c>
      <c r="D500" s="25" t="s">
        <v>162</v>
      </c>
      <c r="E500" s="25" t="s">
        <v>100</v>
      </c>
      <c r="F500" s="26">
        <v>0</v>
      </c>
      <c r="G500" s="3">
        <f t="shared" si="7"/>
        <v>0</v>
      </c>
    </row>
    <row r="501" spans="1:7">
      <c r="A501" s="25" t="s">
        <v>1265</v>
      </c>
      <c r="B501" s="25" t="s">
        <v>2285</v>
      </c>
      <c r="C501" s="25" t="s">
        <v>156</v>
      </c>
      <c r="D501" s="25" t="s">
        <v>162</v>
      </c>
      <c r="E501" s="25" t="s">
        <v>100</v>
      </c>
      <c r="F501" s="26">
        <v>0</v>
      </c>
      <c r="G501" s="3">
        <f t="shared" si="7"/>
        <v>0</v>
      </c>
    </row>
    <row r="502" spans="1:7">
      <c r="A502" s="25" t="s">
        <v>1267</v>
      </c>
      <c r="B502" s="25" t="s">
        <v>1268</v>
      </c>
      <c r="C502" s="25" t="s">
        <v>156</v>
      </c>
      <c r="D502" s="25" t="s">
        <v>162</v>
      </c>
      <c r="E502" s="25" t="s">
        <v>100</v>
      </c>
      <c r="F502" s="26">
        <v>0</v>
      </c>
      <c r="G502" s="3">
        <f t="shared" si="7"/>
        <v>0</v>
      </c>
    </row>
    <row r="503" spans="1:7">
      <c r="A503" s="25" t="s">
        <v>1269</v>
      </c>
      <c r="B503" s="25" t="s">
        <v>1270</v>
      </c>
      <c r="C503" s="25" t="s">
        <v>156</v>
      </c>
      <c r="D503" s="25" t="s">
        <v>169</v>
      </c>
      <c r="E503" s="25" t="s">
        <v>1271</v>
      </c>
      <c r="F503" s="26">
        <v>1395</v>
      </c>
      <c r="G503" s="3">
        <f t="shared" si="7"/>
        <v>1395</v>
      </c>
    </row>
    <row r="504" spans="1:7">
      <c r="A504" s="25" t="s">
        <v>1272</v>
      </c>
      <c r="B504" s="25" t="s">
        <v>189</v>
      </c>
      <c r="C504" s="25" t="s">
        <v>156</v>
      </c>
      <c r="D504" s="25" t="s">
        <v>157</v>
      </c>
      <c r="E504" s="25" t="s">
        <v>100</v>
      </c>
      <c r="F504" s="26">
        <v>0</v>
      </c>
      <c r="G504" s="3">
        <f t="shared" si="7"/>
        <v>0</v>
      </c>
    </row>
    <row r="505" spans="1:7">
      <c r="A505" s="25" t="s">
        <v>1273</v>
      </c>
      <c r="B505" s="25" t="s">
        <v>1110</v>
      </c>
      <c r="C505" s="25" t="s">
        <v>156</v>
      </c>
      <c r="D505" s="25" t="s">
        <v>162</v>
      </c>
      <c r="E505" s="25" t="s">
        <v>100</v>
      </c>
      <c r="F505" s="26">
        <v>-797</v>
      </c>
      <c r="G505" s="3">
        <f t="shared" si="7"/>
        <v>-797</v>
      </c>
    </row>
    <row r="506" spans="1:7">
      <c r="A506" s="25" t="s">
        <v>1274</v>
      </c>
      <c r="B506" s="25" t="s">
        <v>1275</v>
      </c>
      <c r="C506" s="25" t="s">
        <v>156</v>
      </c>
      <c r="D506" s="25" t="s">
        <v>162</v>
      </c>
      <c r="E506" s="25" t="s">
        <v>100</v>
      </c>
      <c r="F506" s="26">
        <v>0</v>
      </c>
      <c r="G506" s="3">
        <f t="shared" si="7"/>
        <v>0</v>
      </c>
    </row>
    <row r="507" spans="1:7">
      <c r="A507" s="25" t="s">
        <v>1276</v>
      </c>
      <c r="B507" s="25" t="s">
        <v>1277</v>
      </c>
      <c r="C507" s="25" t="s">
        <v>156</v>
      </c>
      <c r="D507" s="25" t="s">
        <v>162</v>
      </c>
      <c r="E507" s="25" t="s">
        <v>100</v>
      </c>
      <c r="F507" s="26">
        <v>0</v>
      </c>
      <c r="G507" s="3">
        <f t="shared" si="7"/>
        <v>0</v>
      </c>
    </row>
    <row r="508" spans="1:7">
      <c r="A508" s="25" t="s">
        <v>1278</v>
      </c>
      <c r="B508" s="25" t="s">
        <v>1279</v>
      </c>
      <c r="C508" s="25" t="s">
        <v>156</v>
      </c>
      <c r="D508" s="25" t="s">
        <v>162</v>
      </c>
      <c r="E508" s="25" t="s">
        <v>100</v>
      </c>
      <c r="F508" s="26">
        <v>0</v>
      </c>
      <c r="G508" s="3">
        <f t="shared" si="7"/>
        <v>0</v>
      </c>
    </row>
    <row r="509" spans="1:7">
      <c r="A509" s="25" t="s">
        <v>1280</v>
      </c>
      <c r="B509" s="25" t="s">
        <v>2268</v>
      </c>
      <c r="C509" s="25" t="s">
        <v>156</v>
      </c>
      <c r="D509" s="25" t="s">
        <v>162</v>
      </c>
      <c r="E509" s="25" t="s">
        <v>100</v>
      </c>
      <c r="F509" s="26">
        <v>0</v>
      </c>
      <c r="G509" s="3">
        <f t="shared" si="7"/>
        <v>0</v>
      </c>
    </row>
    <row r="510" spans="1:7">
      <c r="A510" s="25" t="s">
        <v>1282</v>
      </c>
      <c r="B510" s="25" t="s">
        <v>251</v>
      </c>
      <c r="C510" s="25" t="s">
        <v>156</v>
      </c>
      <c r="D510" s="25" t="s">
        <v>169</v>
      </c>
      <c r="E510" s="25" t="s">
        <v>1283</v>
      </c>
      <c r="F510" s="26">
        <v>-797</v>
      </c>
      <c r="G510" s="3">
        <f t="shared" si="7"/>
        <v>-797</v>
      </c>
    </row>
    <row r="511" spans="1:7">
      <c r="A511" s="25" t="s">
        <v>1284</v>
      </c>
      <c r="B511" s="25" t="s">
        <v>278</v>
      </c>
      <c r="C511" s="25" t="s">
        <v>156</v>
      </c>
      <c r="D511" s="25" t="s">
        <v>169</v>
      </c>
      <c r="E511" s="25" t="s">
        <v>1285</v>
      </c>
      <c r="F511" s="26">
        <v>598</v>
      </c>
      <c r="G511" s="3">
        <f t="shared" si="7"/>
        <v>598</v>
      </c>
    </row>
    <row r="512" spans="1:7">
      <c r="A512" s="25" t="s">
        <v>1286</v>
      </c>
      <c r="B512" s="25" t="s">
        <v>281</v>
      </c>
      <c r="C512" s="25" t="s">
        <v>156</v>
      </c>
      <c r="D512" s="25" t="s">
        <v>157</v>
      </c>
      <c r="E512" s="25" t="s">
        <v>100</v>
      </c>
      <c r="F512" s="26">
        <v>0</v>
      </c>
      <c r="G512" s="3">
        <f t="shared" si="7"/>
        <v>0</v>
      </c>
    </row>
    <row r="513" spans="1:7">
      <c r="A513" s="25" t="s">
        <v>1287</v>
      </c>
      <c r="B513" s="25" t="s">
        <v>1288</v>
      </c>
      <c r="C513" s="25" t="s">
        <v>156</v>
      </c>
      <c r="D513" s="25" t="s">
        <v>157</v>
      </c>
      <c r="E513" s="25" t="s">
        <v>100</v>
      </c>
      <c r="F513" s="26">
        <v>0</v>
      </c>
      <c r="G513" s="3">
        <f t="shared" si="7"/>
        <v>0</v>
      </c>
    </row>
    <row r="514" spans="1:7">
      <c r="A514" s="25" t="s">
        <v>1289</v>
      </c>
      <c r="B514" s="25" t="s">
        <v>47</v>
      </c>
      <c r="C514" s="25" t="s">
        <v>156</v>
      </c>
      <c r="D514" s="25" t="s">
        <v>162</v>
      </c>
      <c r="E514" s="25" t="s">
        <v>100</v>
      </c>
      <c r="F514" s="26">
        <v>0</v>
      </c>
      <c r="G514" s="3">
        <f t="shared" si="7"/>
        <v>0</v>
      </c>
    </row>
    <row r="515" spans="1:7">
      <c r="A515" s="25" t="s">
        <v>1290</v>
      </c>
      <c r="B515" s="25" t="s">
        <v>1219</v>
      </c>
      <c r="C515" s="25" t="s">
        <v>156</v>
      </c>
      <c r="D515" s="25" t="s">
        <v>162</v>
      </c>
      <c r="E515" s="25" t="s">
        <v>100</v>
      </c>
      <c r="F515" s="26">
        <v>0</v>
      </c>
      <c r="G515" s="3">
        <f t="shared" si="7"/>
        <v>0</v>
      </c>
    </row>
    <row r="516" spans="1:7">
      <c r="A516" s="25" t="s">
        <v>1292</v>
      </c>
      <c r="B516" s="25" t="s">
        <v>1293</v>
      </c>
      <c r="C516" s="25" t="s">
        <v>156</v>
      </c>
      <c r="D516" s="25" t="s">
        <v>162</v>
      </c>
      <c r="E516" s="25" t="s">
        <v>100</v>
      </c>
      <c r="F516" s="26">
        <v>0</v>
      </c>
      <c r="G516" s="3">
        <f t="shared" si="7"/>
        <v>0</v>
      </c>
    </row>
    <row r="517" spans="1:7">
      <c r="A517" s="25" t="s">
        <v>1294</v>
      </c>
      <c r="B517" s="25" t="s">
        <v>1295</v>
      </c>
      <c r="C517" s="25" t="s">
        <v>156</v>
      </c>
      <c r="D517" s="25" t="s">
        <v>162</v>
      </c>
      <c r="E517" s="25" t="s">
        <v>100</v>
      </c>
      <c r="F517" s="26">
        <v>0</v>
      </c>
      <c r="G517" s="3">
        <f t="shared" ref="G517:G580" si="8">ROUND(F517,0)</f>
        <v>0</v>
      </c>
    </row>
    <row r="518" spans="1:7">
      <c r="A518" s="25" t="s">
        <v>1296</v>
      </c>
      <c r="B518" s="25" t="s">
        <v>1297</v>
      </c>
      <c r="C518" s="25" t="s">
        <v>156</v>
      </c>
      <c r="D518" s="25" t="s">
        <v>162</v>
      </c>
      <c r="E518" s="25" t="s">
        <v>100</v>
      </c>
      <c r="F518" s="26">
        <v>0</v>
      </c>
      <c r="G518" s="3">
        <f t="shared" si="8"/>
        <v>0</v>
      </c>
    </row>
    <row r="519" spans="1:7">
      <c r="A519" s="25" t="s">
        <v>1298</v>
      </c>
      <c r="B519" s="25" t="s">
        <v>1299</v>
      </c>
      <c r="C519" s="25" t="s">
        <v>156</v>
      </c>
      <c r="D519" s="25" t="s">
        <v>162</v>
      </c>
      <c r="E519" s="25" t="s">
        <v>100</v>
      </c>
      <c r="F519" s="26">
        <v>0</v>
      </c>
      <c r="G519" s="3">
        <f t="shared" si="8"/>
        <v>0</v>
      </c>
    </row>
    <row r="520" spans="1:7">
      <c r="A520" s="25" t="s">
        <v>1300</v>
      </c>
      <c r="B520" s="25" t="s">
        <v>1301</v>
      </c>
      <c r="C520" s="25" t="s">
        <v>156</v>
      </c>
      <c r="D520" s="25" t="s">
        <v>162</v>
      </c>
      <c r="E520" s="25" t="s">
        <v>100</v>
      </c>
      <c r="F520" s="26">
        <v>0</v>
      </c>
      <c r="G520" s="3">
        <f t="shared" si="8"/>
        <v>0</v>
      </c>
    </row>
    <row r="521" spans="1:7">
      <c r="A521" s="25" t="s">
        <v>1302</v>
      </c>
      <c r="B521" s="25" t="s">
        <v>1303</v>
      </c>
      <c r="C521" s="25" t="s">
        <v>156</v>
      </c>
      <c r="D521" s="25" t="s">
        <v>162</v>
      </c>
      <c r="E521" s="25" t="s">
        <v>100</v>
      </c>
      <c r="F521" s="26">
        <v>881</v>
      </c>
      <c r="G521" s="3">
        <f t="shared" si="8"/>
        <v>881</v>
      </c>
    </row>
    <row r="522" spans="1:7">
      <c r="A522" s="25" t="s">
        <v>1304</v>
      </c>
      <c r="B522" s="25" t="s">
        <v>664</v>
      </c>
      <c r="C522" s="25" t="s">
        <v>156</v>
      </c>
      <c r="D522" s="25" t="s">
        <v>162</v>
      </c>
      <c r="E522" s="25" t="s">
        <v>100</v>
      </c>
      <c r="F522" s="26">
        <v>1054</v>
      </c>
      <c r="G522" s="3">
        <f t="shared" si="8"/>
        <v>1054</v>
      </c>
    </row>
    <row r="523" spans="1:7">
      <c r="A523" s="25" t="s">
        <v>1305</v>
      </c>
      <c r="B523" s="25" t="s">
        <v>2286</v>
      </c>
      <c r="C523" s="25" t="s">
        <v>156</v>
      </c>
      <c r="D523" s="25" t="s">
        <v>162</v>
      </c>
      <c r="E523" s="25" t="s">
        <v>100</v>
      </c>
      <c r="F523" s="26">
        <v>1132</v>
      </c>
      <c r="G523" s="3">
        <f t="shared" si="8"/>
        <v>1132</v>
      </c>
    </row>
    <row r="524" spans="1:7">
      <c r="A524" s="25" t="s">
        <v>1309</v>
      </c>
      <c r="B524" s="25" t="s">
        <v>2287</v>
      </c>
      <c r="C524" s="25" t="s">
        <v>156</v>
      </c>
      <c r="D524" s="25" t="s">
        <v>162</v>
      </c>
      <c r="E524" s="25" t="s">
        <v>100</v>
      </c>
      <c r="F524" s="26">
        <v>0</v>
      </c>
      <c r="G524" s="3">
        <f t="shared" si="8"/>
        <v>0</v>
      </c>
    </row>
    <row r="525" spans="1:7">
      <c r="A525" s="25" t="s">
        <v>1311</v>
      </c>
      <c r="B525" s="25" t="s">
        <v>1310</v>
      </c>
      <c r="C525" s="25" t="s">
        <v>156</v>
      </c>
      <c r="D525" s="25" t="s">
        <v>162</v>
      </c>
      <c r="E525" s="25" t="s">
        <v>100</v>
      </c>
      <c r="F525" s="26">
        <v>0</v>
      </c>
      <c r="G525" s="3">
        <f t="shared" si="8"/>
        <v>0</v>
      </c>
    </row>
    <row r="526" spans="1:7">
      <c r="A526" s="25" t="s">
        <v>1313</v>
      </c>
      <c r="B526" s="25" t="s">
        <v>1314</v>
      </c>
      <c r="C526" s="25" t="s">
        <v>156</v>
      </c>
      <c r="D526" s="25" t="s">
        <v>162</v>
      </c>
      <c r="E526" s="25" t="s">
        <v>100</v>
      </c>
      <c r="F526" s="26">
        <v>0</v>
      </c>
      <c r="G526" s="3">
        <f t="shared" si="8"/>
        <v>0</v>
      </c>
    </row>
    <row r="527" spans="1:7">
      <c r="A527" s="25" t="s">
        <v>1315</v>
      </c>
      <c r="B527" s="25" t="s">
        <v>1316</v>
      </c>
      <c r="C527" s="25" t="s">
        <v>156</v>
      </c>
      <c r="D527" s="25" t="s">
        <v>162</v>
      </c>
      <c r="E527" s="25" t="s">
        <v>100</v>
      </c>
      <c r="F527" s="26">
        <v>0</v>
      </c>
      <c r="G527" s="3">
        <f t="shared" si="8"/>
        <v>0</v>
      </c>
    </row>
    <row r="528" spans="1:7">
      <c r="A528" s="25" t="s">
        <v>1317</v>
      </c>
      <c r="B528" s="25" t="s">
        <v>88</v>
      </c>
      <c r="C528" s="25" t="s">
        <v>156</v>
      </c>
      <c r="D528" s="25" t="s">
        <v>162</v>
      </c>
      <c r="E528" s="25" t="s">
        <v>100</v>
      </c>
      <c r="F528" s="26">
        <v>0</v>
      </c>
      <c r="G528" s="3">
        <f t="shared" si="8"/>
        <v>0</v>
      </c>
    </row>
    <row r="529" spans="1:7">
      <c r="A529" s="25" t="s">
        <v>1319</v>
      </c>
      <c r="B529" s="25" t="s">
        <v>1320</v>
      </c>
      <c r="C529" s="25" t="s">
        <v>156</v>
      </c>
      <c r="D529" s="25" t="s">
        <v>169</v>
      </c>
      <c r="E529" s="25" t="s">
        <v>1321</v>
      </c>
      <c r="F529" s="26">
        <v>3067</v>
      </c>
      <c r="G529" s="3">
        <f t="shared" si="8"/>
        <v>3067</v>
      </c>
    </row>
    <row r="530" spans="1:7">
      <c r="A530" s="25" t="s">
        <v>1322</v>
      </c>
      <c r="B530" s="25" t="s">
        <v>1323</v>
      </c>
      <c r="C530" s="25" t="s">
        <v>156</v>
      </c>
      <c r="D530" s="25" t="s">
        <v>157</v>
      </c>
      <c r="E530" s="25" t="s">
        <v>100</v>
      </c>
      <c r="F530" s="26">
        <v>0</v>
      </c>
      <c r="G530" s="3">
        <f t="shared" si="8"/>
        <v>0</v>
      </c>
    </row>
    <row r="531" spans="1:7">
      <c r="A531" s="25" t="s">
        <v>1324</v>
      </c>
      <c r="B531" s="25" t="s">
        <v>1325</v>
      </c>
      <c r="C531" s="25" t="s">
        <v>156</v>
      </c>
      <c r="D531" s="25" t="s">
        <v>162</v>
      </c>
      <c r="E531" s="25" t="s">
        <v>100</v>
      </c>
      <c r="F531" s="26">
        <v>0</v>
      </c>
      <c r="G531" s="3">
        <f t="shared" si="8"/>
        <v>0</v>
      </c>
    </row>
    <row r="532" spans="1:7">
      <c r="A532" s="25" t="s">
        <v>1326</v>
      </c>
      <c r="B532" s="25" t="s">
        <v>1327</v>
      </c>
      <c r="C532" s="25" t="s">
        <v>156</v>
      </c>
      <c r="D532" s="25" t="s">
        <v>162</v>
      </c>
      <c r="E532" s="25" t="s">
        <v>100</v>
      </c>
      <c r="F532" s="26">
        <v>0</v>
      </c>
      <c r="G532" s="3">
        <f t="shared" si="8"/>
        <v>0</v>
      </c>
    </row>
    <row r="533" spans="1:7">
      <c r="A533" s="25" t="s">
        <v>1328</v>
      </c>
      <c r="B533" s="25" t="s">
        <v>2288</v>
      </c>
      <c r="C533" s="25" t="s">
        <v>156</v>
      </c>
      <c r="D533" s="25" t="s">
        <v>162</v>
      </c>
      <c r="E533" s="25" t="s">
        <v>100</v>
      </c>
      <c r="F533" s="26">
        <v>0</v>
      </c>
      <c r="G533" s="3">
        <f t="shared" si="8"/>
        <v>0</v>
      </c>
    </row>
    <row r="534" spans="1:7">
      <c r="A534" s="25" t="s">
        <v>1330</v>
      </c>
      <c r="B534" s="25" t="s">
        <v>2289</v>
      </c>
      <c r="C534" s="25" t="s">
        <v>156</v>
      </c>
      <c r="D534" s="25" t="s">
        <v>162</v>
      </c>
      <c r="E534" s="25" t="s">
        <v>100</v>
      </c>
      <c r="F534" s="26">
        <v>0</v>
      </c>
      <c r="G534" s="3">
        <f t="shared" si="8"/>
        <v>0</v>
      </c>
    </row>
    <row r="535" spans="1:7">
      <c r="A535" s="25" t="s">
        <v>1332</v>
      </c>
      <c r="B535" s="25" t="s">
        <v>1333</v>
      </c>
      <c r="C535" s="25" t="s">
        <v>156</v>
      </c>
      <c r="D535" s="25" t="s">
        <v>169</v>
      </c>
      <c r="E535" s="25" t="s">
        <v>1334</v>
      </c>
      <c r="F535" s="26">
        <v>0</v>
      </c>
      <c r="G535" s="3">
        <f t="shared" si="8"/>
        <v>0</v>
      </c>
    </row>
    <row r="536" spans="1:7">
      <c r="A536" s="25" t="s">
        <v>1335</v>
      </c>
      <c r="B536" s="25" t="s">
        <v>1336</v>
      </c>
      <c r="C536" s="25" t="s">
        <v>156</v>
      </c>
      <c r="D536" s="25" t="s">
        <v>157</v>
      </c>
      <c r="E536" s="25" t="s">
        <v>100</v>
      </c>
      <c r="F536" s="26">
        <v>0</v>
      </c>
      <c r="G536" s="3">
        <f t="shared" si="8"/>
        <v>0</v>
      </c>
    </row>
    <row r="537" spans="1:7">
      <c r="A537" s="25" t="s">
        <v>1337</v>
      </c>
      <c r="B537" s="25" t="s">
        <v>1338</v>
      </c>
      <c r="C537" s="25" t="s">
        <v>156</v>
      </c>
      <c r="D537" s="25" t="s">
        <v>162</v>
      </c>
      <c r="E537" s="25" t="s">
        <v>100</v>
      </c>
      <c r="F537" s="26">
        <v>0</v>
      </c>
      <c r="G537" s="3">
        <f t="shared" si="8"/>
        <v>0</v>
      </c>
    </row>
    <row r="538" spans="1:7">
      <c r="A538" s="25" t="s">
        <v>1339</v>
      </c>
      <c r="B538" s="25" t="s">
        <v>1340</v>
      </c>
      <c r="C538" s="25" t="s">
        <v>156</v>
      </c>
      <c r="D538" s="25" t="s">
        <v>162</v>
      </c>
      <c r="E538" s="25" t="s">
        <v>100</v>
      </c>
      <c r="F538" s="26">
        <v>0</v>
      </c>
      <c r="G538" s="3">
        <f t="shared" si="8"/>
        <v>0</v>
      </c>
    </row>
    <row r="539" spans="1:7">
      <c r="A539" s="25" t="s">
        <v>1341</v>
      </c>
      <c r="B539" s="25" t="s">
        <v>1342</v>
      </c>
      <c r="C539" s="25" t="s">
        <v>156</v>
      </c>
      <c r="D539" s="25" t="s">
        <v>162</v>
      </c>
      <c r="E539" s="25" t="s">
        <v>100</v>
      </c>
      <c r="F539" s="26">
        <v>0</v>
      </c>
      <c r="G539" s="3">
        <f t="shared" si="8"/>
        <v>0</v>
      </c>
    </row>
    <row r="540" spans="1:7">
      <c r="A540" s="25" t="s">
        <v>1343</v>
      </c>
      <c r="B540" s="25" t="s">
        <v>1344</v>
      </c>
      <c r="C540" s="25" t="s">
        <v>156</v>
      </c>
      <c r="D540" s="25" t="s">
        <v>162</v>
      </c>
      <c r="E540" s="25" t="s">
        <v>100</v>
      </c>
      <c r="F540" s="26">
        <v>0</v>
      </c>
      <c r="G540" s="3">
        <f t="shared" si="8"/>
        <v>0</v>
      </c>
    </row>
    <row r="541" spans="1:7">
      <c r="A541" s="25" t="s">
        <v>1345</v>
      </c>
      <c r="B541" s="25" t="s">
        <v>1346</v>
      </c>
      <c r="C541" s="25" t="s">
        <v>156</v>
      </c>
      <c r="D541" s="25" t="s">
        <v>162</v>
      </c>
      <c r="E541" s="25" t="s">
        <v>100</v>
      </c>
      <c r="F541" s="26">
        <v>0</v>
      </c>
      <c r="G541" s="3">
        <f t="shared" si="8"/>
        <v>0</v>
      </c>
    </row>
    <row r="542" spans="1:7">
      <c r="A542" s="25" t="s">
        <v>1347</v>
      </c>
      <c r="B542" s="25" t="s">
        <v>1348</v>
      </c>
      <c r="C542" s="25" t="s">
        <v>156</v>
      </c>
      <c r="D542" s="25" t="s">
        <v>162</v>
      </c>
      <c r="E542" s="25" t="s">
        <v>100</v>
      </c>
      <c r="F542" s="26">
        <v>0</v>
      </c>
      <c r="G542" s="3">
        <f t="shared" si="8"/>
        <v>0</v>
      </c>
    </row>
    <row r="543" spans="1:7">
      <c r="A543" s="25" t="s">
        <v>1349</v>
      </c>
      <c r="B543" s="25" t="s">
        <v>1350</v>
      </c>
      <c r="C543" s="25" t="s">
        <v>156</v>
      </c>
      <c r="D543" s="25" t="s">
        <v>162</v>
      </c>
      <c r="E543" s="25" t="s">
        <v>100</v>
      </c>
      <c r="F543" s="26">
        <v>0</v>
      </c>
      <c r="G543" s="3">
        <f t="shared" si="8"/>
        <v>0</v>
      </c>
    </row>
    <row r="544" spans="1:7">
      <c r="A544" s="25" t="s">
        <v>1351</v>
      </c>
      <c r="B544" s="25" t="s">
        <v>1352</v>
      </c>
      <c r="C544" s="25" t="s">
        <v>156</v>
      </c>
      <c r="D544" s="25" t="s">
        <v>162</v>
      </c>
      <c r="E544" s="25" t="s">
        <v>100</v>
      </c>
      <c r="F544" s="26">
        <v>0</v>
      </c>
      <c r="G544" s="3">
        <f t="shared" si="8"/>
        <v>0</v>
      </c>
    </row>
    <row r="545" spans="1:7">
      <c r="A545" s="25" t="s">
        <v>1353</v>
      </c>
      <c r="B545" s="25" t="s">
        <v>1354</v>
      </c>
      <c r="C545" s="25" t="s">
        <v>156</v>
      </c>
      <c r="D545" s="25" t="s">
        <v>162</v>
      </c>
      <c r="E545" s="25" t="s">
        <v>100</v>
      </c>
      <c r="F545" s="26">
        <v>0</v>
      </c>
      <c r="G545" s="3">
        <f t="shared" si="8"/>
        <v>0</v>
      </c>
    </row>
    <row r="546" spans="1:7">
      <c r="A546" s="25" t="s">
        <v>1355</v>
      </c>
      <c r="B546" s="25" t="s">
        <v>1356</v>
      </c>
      <c r="C546" s="25" t="s">
        <v>156</v>
      </c>
      <c r="D546" s="25" t="s">
        <v>162</v>
      </c>
      <c r="E546" s="25" t="s">
        <v>100</v>
      </c>
      <c r="F546" s="26">
        <v>0</v>
      </c>
      <c r="G546" s="3">
        <f t="shared" si="8"/>
        <v>0</v>
      </c>
    </row>
    <row r="547" spans="1:7">
      <c r="A547" s="25" t="s">
        <v>1357</v>
      </c>
      <c r="B547" s="25" t="s">
        <v>1358</v>
      </c>
      <c r="C547" s="25" t="s">
        <v>156</v>
      </c>
      <c r="D547" s="25" t="s">
        <v>162</v>
      </c>
      <c r="E547" s="25" t="s">
        <v>100</v>
      </c>
      <c r="F547" s="26">
        <v>0</v>
      </c>
      <c r="G547" s="3">
        <f t="shared" si="8"/>
        <v>0</v>
      </c>
    </row>
    <row r="548" spans="1:7">
      <c r="A548" s="25" t="s">
        <v>1359</v>
      </c>
      <c r="B548" s="25" t="s">
        <v>1360</v>
      </c>
      <c r="C548" s="25" t="s">
        <v>156</v>
      </c>
      <c r="D548" s="25" t="s">
        <v>162</v>
      </c>
      <c r="E548" s="25" t="s">
        <v>100</v>
      </c>
      <c r="F548" s="26">
        <v>0</v>
      </c>
      <c r="G548" s="3">
        <f t="shared" si="8"/>
        <v>0</v>
      </c>
    </row>
    <row r="549" spans="1:7">
      <c r="A549" s="25" t="s">
        <v>1361</v>
      </c>
      <c r="B549" s="25" t="s">
        <v>1362</v>
      </c>
      <c r="C549" s="25" t="s">
        <v>156</v>
      </c>
      <c r="D549" s="25" t="s">
        <v>162</v>
      </c>
      <c r="E549" s="25" t="s">
        <v>100</v>
      </c>
      <c r="F549" s="26">
        <v>0</v>
      </c>
      <c r="G549" s="3">
        <f t="shared" si="8"/>
        <v>0</v>
      </c>
    </row>
    <row r="550" spans="1:7">
      <c r="A550" s="25" t="s">
        <v>1363</v>
      </c>
      <c r="B550" s="25" t="s">
        <v>1364</v>
      </c>
      <c r="C550" s="25" t="s">
        <v>156</v>
      </c>
      <c r="D550" s="25" t="s">
        <v>162</v>
      </c>
      <c r="E550" s="25" t="s">
        <v>100</v>
      </c>
      <c r="F550" s="26">
        <v>0</v>
      </c>
      <c r="G550" s="3">
        <f t="shared" si="8"/>
        <v>0</v>
      </c>
    </row>
    <row r="551" spans="1:7">
      <c r="A551" s="25" t="s">
        <v>1365</v>
      </c>
      <c r="B551" s="25" t="s">
        <v>2269</v>
      </c>
      <c r="C551" s="25" t="s">
        <v>156</v>
      </c>
      <c r="D551" s="25" t="s">
        <v>162</v>
      </c>
      <c r="E551" s="25" t="s">
        <v>100</v>
      </c>
      <c r="F551" s="26">
        <v>0</v>
      </c>
      <c r="G551" s="3">
        <f t="shared" si="8"/>
        <v>0</v>
      </c>
    </row>
    <row r="552" spans="1:7">
      <c r="A552" s="25" t="s">
        <v>1367</v>
      </c>
      <c r="B552" s="25" t="s">
        <v>495</v>
      </c>
      <c r="C552" s="25" t="s">
        <v>156</v>
      </c>
      <c r="D552" s="25" t="s">
        <v>162</v>
      </c>
      <c r="E552" s="25" t="s">
        <v>100</v>
      </c>
      <c r="F552" s="26">
        <v>0</v>
      </c>
      <c r="G552" s="3">
        <f t="shared" si="8"/>
        <v>0</v>
      </c>
    </row>
    <row r="553" spans="1:7">
      <c r="A553" s="25" t="s">
        <v>1368</v>
      </c>
      <c r="B553" s="25" t="s">
        <v>1369</v>
      </c>
      <c r="C553" s="25" t="s">
        <v>156</v>
      </c>
      <c r="D553" s="25" t="s">
        <v>162</v>
      </c>
      <c r="E553" s="25" t="s">
        <v>100</v>
      </c>
      <c r="F553" s="26">
        <v>0</v>
      </c>
      <c r="G553" s="3">
        <f t="shared" si="8"/>
        <v>0</v>
      </c>
    </row>
    <row r="554" spans="1:7">
      <c r="A554" s="25" t="s">
        <v>1370</v>
      </c>
      <c r="B554" s="25" t="s">
        <v>2290</v>
      </c>
      <c r="C554" s="25" t="s">
        <v>156</v>
      </c>
      <c r="D554" s="25" t="s">
        <v>162</v>
      </c>
      <c r="E554" s="25" t="s">
        <v>100</v>
      </c>
      <c r="F554" s="26">
        <v>0</v>
      </c>
      <c r="G554" s="3">
        <f t="shared" si="8"/>
        <v>0</v>
      </c>
    </row>
    <row r="555" spans="1:7">
      <c r="A555" s="25" t="s">
        <v>1371</v>
      </c>
      <c r="B555" s="25" t="s">
        <v>2291</v>
      </c>
      <c r="C555" s="25" t="s">
        <v>156</v>
      </c>
      <c r="D555" s="25" t="s">
        <v>162</v>
      </c>
      <c r="E555" s="25" t="s">
        <v>100</v>
      </c>
      <c r="F555" s="26">
        <v>0</v>
      </c>
      <c r="G555" s="3">
        <f t="shared" si="8"/>
        <v>0</v>
      </c>
    </row>
    <row r="556" spans="1:7">
      <c r="A556" s="25" t="s">
        <v>1373</v>
      </c>
      <c r="B556" s="25" t="s">
        <v>1374</v>
      </c>
      <c r="C556" s="25" t="s">
        <v>156</v>
      </c>
      <c r="D556" s="25" t="s">
        <v>169</v>
      </c>
      <c r="E556" s="25" t="s">
        <v>1375</v>
      </c>
      <c r="F556" s="26">
        <v>0</v>
      </c>
      <c r="G556" s="3">
        <f t="shared" si="8"/>
        <v>0</v>
      </c>
    </row>
    <row r="557" spans="1:7">
      <c r="A557" s="25" t="s">
        <v>1376</v>
      </c>
      <c r="B557" s="25" t="s">
        <v>1377</v>
      </c>
      <c r="C557" s="25" t="s">
        <v>156</v>
      </c>
      <c r="D557" s="25" t="s">
        <v>157</v>
      </c>
      <c r="E557" s="25" t="s">
        <v>100</v>
      </c>
      <c r="F557" s="26">
        <v>0</v>
      </c>
      <c r="G557" s="3">
        <f t="shared" si="8"/>
        <v>0</v>
      </c>
    </row>
    <row r="558" spans="1:7">
      <c r="A558" s="25" t="s">
        <v>1378</v>
      </c>
      <c r="B558" s="25" t="s">
        <v>2270</v>
      </c>
      <c r="C558" s="25" t="s">
        <v>156</v>
      </c>
      <c r="D558" s="25" t="s">
        <v>162</v>
      </c>
      <c r="E558" s="25" t="s">
        <v>100</v>
      </c>
      <c r="F558" s="26">
        <v>0</v>
      </c>
      <c r="G558" s="3">
        <f t="shared" si="8"/>
        <v>0</v>
      </c>
    </row>
    <row r="559" spans="1:7">
      <c r="A559" s="25" t="s">
        <v>1380</v>
      </c>
      <c r="B559" s="25" t="s">
        <v>1381</v>
      </c>
      <c r="C559" s="25" t="s">
        <v>156</v>
      </c>
      <c r="D559" s="25" t="s">
        <v>169</v>
      </c>
      <c r="E559" s="25" t="s">
        <v>1382</v>
      </c>
      <c r="F559" s="26">
        <v>0</v>
      </c>
      <c r="G559" s="3">
        <f t="shared" si="8"/>
        <v>0</v>
      </c>
    </row>
    <row r="560" spans="1:7">
      <c r="A560" s="25" t="s">
        <v>1383</v>
      </c>
      <c r="B560" s="25" t="s">
        <v>1384</v>
      </c>
      <c r="C560" s="25" t="s">
        <v>156</v>
      </c>
      <c r="D560" s="25" t="s">
        <v>157</v>
      </c>
      <c r="E560" s="25" t="s">
        <v>100</v>
      </c>
      <c r="F560" s="26">
        <v>0</v>
      </c>
      <c r="G560" s="3">
        <f t="shared" si="8"/>
        <v>0</v>
      </c>
    </row>
    <row r="561" spans="1:8">
      <c r="A561" s="25" t="s">
        <v>1385</v>
      </c>
      <c r="B561" s="25" t="s">
        <v>2292</v>
      </c>
      <c r="C561" s="25" t="s">
        <v>156</v>
      </c>
      <c r="D561" s="25" t="s">
        <v>162</v>
      </c>
      <c r="E561" s="25" t="s">
        <v>100</v>
      </c>
      <c r="F561" s="26">
        <v>-150</v>
      </c>
      <c r="G561" s="3">
        <f t="shared" si="8"/>
        <v>-150</v>
      </c>
    </row>
    <row r="562" spans="1:8">
      <c r="A562" s="25" t="s">
        <v>1387</v>
      </c>
      <c r="B562" s="25" t="s">
        <v>2293</v>
      </c>
      <c r="C562" s="25" t="s">
        <v>156</v>
      </c>
      <c r="D562" s="25" t="s">
        <v>162</v>
      </c>
      <c r="E562" s="25" t="s">
        <v>100</v>
      </c>
      <c r="F562" s="26">
        <v>0</v>
      </c>
      <c r="G562" s="3">
        <f t="shared" si="8"/>
        <v>0</v>
      </c>
    </row>
    <row r="563" spans="1:8">
      <c r="A563" s="25" t="s">
        <v>1389</v>
      </c>
      <c r="B563" s="25" t="s">
        <v>1390</v>
      </c>
      <c r="C563" s="25" t="s">
        <v>156</v>
      </c>
      <c r="D563" s="25" t="s">
        <v>162</v>
      </c>
      <c r="E563" s="25" t="s">
        <v>100</v>
      </c>
      <c r="F563" s="26">
        <v>0</v>
      </c>
      <c r="G563" s="3">
        <f t="shared" si="8"/>
        <v>0</v>
      </c>
    </row>
    <row r="564" spans="1:8">
      <c r="A564" s="25" t="s">
        <v>1391</v>
      </c>
      <c r="B564" s="25" t="s">
        <v>1392</v>
      </c>
      <c r="C564" s="25" t="s">
        <v>156</v>
      </c>
      <c r="D564" s="25" t="s">
        <v>169</v>
      </c>
      <c r="E564" s="25" t="s">
        <v>1393</v>
      </c>
      <c r="F564" s="26">
        <v>-150</v>
      </c>
      <c r="G564" s="3">
        <f t="shared" si="8"/>
        <v>-150</v>
      </c>
    </row>
    <row r="565" spans="1:8">
      <c r="A565" s="25" t="s">
        <v>1394</v>
      </c>
      <c r="B565" s="25" t="s">
        <v>1152</v>
      </c>
      <c r="C565" s="25" t="s">
        <v>156</v>
      </c>
      <c r="D565" s="25" t="s">
        <v>169</v>
      </c>
      <c r="E565" s="25" t="s">
        <v>1395</v>
      </c>
      <c r="F565" s="26">
        <v>2917</v>
      </c>
      <c r="G565" s="3">
        <f t="shared" si="8"/>
        <v>2917</v>
      </c>
    </row>
    <row r="566" spans="1:8">
      <c r="A566" s="25" t="s">
        <v>1396</v>
      </c>
      <c r="B566" s="25" t="s">
        <v>1397</v>
      </c>
      <c r="C566" s="25" t="s">
        <v>156</v>
      </c>
      <c r="D566" s="25" t="s">
        <v>169</v>
      </c>
      <c r="E566" s="25" t="s">
        <v>1398</v>
      </c>
      <c r="F566" s="26">
        <v>3515</v>
      </c>
      <c r="G566" s="3">
        <f t="shared" si="8"/>
        <v>3515</v>
      </c>
      <c r="H566" s="28">
        <v>-3515</v>
      </c>
    </row>
    <row r="567" spans="1:8">
      <c r="A567" s="25" t="s">
        <v>1399</v>
      </c>
      <c r="B567" s="25" t="s">
        <v>1400</v>
      </c>
      <c r="C567" s="25" t="s">
        <v>872</v>
      </c>
      <c r="D567" s="25" t="s">
        <v>157</v>
      </c>
      <c r="E567" s="25" t="s">
        <v>100</v>
      </c>
      <c r="F567" s="26">
        <v>0</v>
      </c>
      <c r="G567" s="3">
        <f t="shared" si="8"/>
        <v>0</v>
      </c>
    </row>
    <row r="568" spans="1:8">
      <c r="A568" s="25" t="s">
        <v>1401</v>
      </c>
      <c r="B568" s="25" t="s">
        <v>1402</v>
      </c>
      <c r="C568" s="25" t="s">
        <v>872</v>
      </c>
      <c r="D568" s="25" t="s">
        <v>162</v>
      </c>
      <c r="E568" s="25" t="s">
        <v>100</v>
      </c>
      <c r="F568" s="26">
        <v>0</v>
      </c>
      <c r="G568" s="3">
        <f t="shared" si="8"/>
        <v>0</v>
      </c>
    </row>
    <row r="569" spans="1:8">
      <c r="A569" s="25" t="s">
        <v>1403</v>
      </c>
      <c r="B569" s="25" t="s">
        <v>1404</v>
      </c>
      <c r="C569" s="25" t="s">
        <v>872</v>
      </c>
      <c r="D569" s="25" t="s">
        <v>162</v>
      </c>
      <c r="E569" s="25" t="s">
        <v>100</v>
      </c>
      <c r="F569" s="26">
        <v>0</v>
      </c>
      <c r="G569" s="3">
        <f t="shared" si="8"/>
        <v>0</v>
      </c>
    </row>
    <row r="570" spans="1:8">
      <c r="A570" s="25" t="s">
        <v>1405</v>
      </c>
      <c r="B570" s="25" t="s">
        <v>1406</v>
      </c>
      <c r="C570" s="25" t="s">
        <v>872</v>
      </c>
      <c r="D570" s="25" t="s">
        <v>162</v>
      </c>
      <c r="E570" s="25" t="s">
        <v>100</v>
      </c>
      <c r="F570" s="26">
        <v>-3124.97</v>
      </c>
      <c r="G570" s="3">
        <f t="shared" si="8"/>
        <v>-3125</v>
      </c>
    </row>
    <row r="571" spans="1:8">
      <c r="A571" s="25" t="s">
        <v>1407</v>
      </c>
      <c r="B571" s="25" t="s">
        <v>1408</v>
      </c>
      <c r="C571" s="25" t="s">
        <v>872</v>
      </c>
      <c r="D571" s="25" t="s">
        <v>169</v>
      </c>
      <c r="E571" s="25" t="s">
        <v>1409</v>
      </c>
      <c r="F571" s="26">
        <v>-3124.97</v>
      </c>
      <c r="G571" s="3">
        <f t="shared" si="8"/>
        <v>-3125</v>
      </c>
    </row>
    <row r="572" spans="1:8">
      <c r="A572" s="25" t="s">
        <v>1410</v>
      </c>
      <c r="B572" s="25" t="s">
        <v>1411</v>
      </c>
      <c r="C572" s="25" t="s">
        <v>872</v>
      </c>
      <c r="D572" s="25" t="s">
        <v>157</v>
      </c>
      <c r="E572" s="25" t="s">
        <v>100</v>
      </c>
      <c r="F572" s="26">
        <v>0</v>
      </c>
      <c r="G572" s="3">
        <f t="shared" si="8"/>
        <v>0</v>
      </c>
    </row>
    <row r="573" spans="1:8">
      <c r="A573" s="25" t="s">
        <v>1412</v>
      </c>
      <c r="B573" s="25" t="s">
        <v>1413</v>
      </c>
      <c r="C573" s="25" t="s">
        <v>872</v>
      </c>
      <c r="D573" s="25" t="s">
        <v>162</v>
      </c>
      <c r="E573" s="25" t="s">
        <v>100</v>
      </c>
      <c r="F573" s="26">
        <v>0</v>
      </c>
      <c r="G573" s="3">
        <f t="shared" si="8"/>
        <v>0</v>
      </c>
    </row>
    <row r="574" spans="1:8">
      <c r="A574" s="25" t="s">
        <v>1414</v>
      </c>
      <c r="B574" s="25" t="s">
        <v>1415</v>
      </c>
      <c r="C574" s="25" t="s">
        <v>872</v>
      </c>
      <c r="D574" s="25" t="s">
        <v>162</v>
      </c>
      <c r="E574" s="25" t="s">
        <v>100</v>
      </c>
      <c r="F574" s="26">
        <v>11352.47</v>
      </c>
      <c r="G574" s="3">
        <f t="shared" si="8"/>
        <v>11352</v>
      </c>
    </row>
    <row r="575" spans="1:8">
      <c r="A575" s="25" t="s">
        <v>1416</v>
      </c>
      <c r="B575" s="25" t="s">
        <v>1417</v>
      </c>
      <c r="C575" s="25" t="s">
        <v>872</v>
      </c>
      <c r="D575" s="25" t="s">
        <v>162</v>
      </c>
      <c r="E575" s="25" t="s">
        <v>100</v>
      </c>
      <c r="F575" s="26">
        <v>-65.77</v>
      </c>
      <c r="G575" s="3">
        <f t="shared" si="8"/>
        <v>-66</v>
      </c>
    </row>
    <row r="576" spans="1:8">
      <c r="A576" s="25" t="s">
        <v>1418</v>
      </c>
      <c r="B576" s="25" t="s">
        <v>515</v>
      </c>
      <c r="C576" s="25" t="s">
        <v>872</v>
      </c>
      <c r="D576" s="25" t="s">
        <v>162</v>
      </c>
      <c r="E576" s="25" t="s">
        <v>100</v>
      </c>
      <c r="F576" s="26">
        <v>-1372799.45</v>
      </c>
      <c r="G576" s="3">
        <f t="shared" si="8"/>
        <v>-1372799</v>
      </c>
    </row>
    <row r="577" spans="1:8">
      <c r="A577" s="25" t="s">
        <v>1419</v>
      </c>
      <c r="B577" s="25" t="s">
        <v>1420</v>
      </c>
      <c r="C577" s="25" t="s">
        <v>872</v>
      </c>
      <c r="D577" s="25" t="s">
        <v>169</v>
      </c>
      <c r="E577" s="25" t="s">
        <v>1421</v>
      </c>
      <c r="F577" s="26">
        <v>-1361512.75</v>
      </c>
      <c r="G577" s="3">
        <f t="shared" si="8"/>
        <v>-1361513</v>
      </c>
    </row>
    <row r="578" spans="1:8">
      <c r="A578" s="25" t="s">
        <v>1422</v>
      </c>
      <c r="B578" s="25" t="s">
        <v>1423</v>
      </c>
      <c r="C578" s="25" t="s">
        <v>872</v>
      </c>
      <c r="D578" s="25" t="s">
        <v>157</v>
      </c>
      <c r="E578" s="25" t="s">
        <v>100</v>
      </c>
      <c r="F578" s="26">
        <v>0</v>
      </c>
      <c r="G578" s="3">
        <f t="shared" si="8"/>
        <v>0</v>
      </c>
    </row>
    <row r="579" spans="1:8">
      <c r="A579" s="25" t="s">
        <v>1424</v>
      </c>
      <c r="B579" s="25" t="s">
        <v>1425</v>
      </c>
      <c r="C579" s="25" t="s">
        <v>872</v>
      </c>
      <c r="D579" s="25" t="s">
        <v>162</v>
      </c>
      <c r="E579" s="25" t="s">
        <v>100</v>
      </c>
      <c r="F579" s="26">
        <v>-7362.05</v>
      </c>
      <c r="G579" s="3">
        <f t="shared" si="8"/>
        <v>-7362</v>
      </c>
    </row>
    <row r="580" spans="1:8">
      <c r="A580" s="25" t="s">
        <v>1426</v>
      </c>
      <c r="B580" s="25" t="s">
        <v>1427</v>
      </c>
      <c r="C580" s="25" t="s">
        <v>872</v>
      </c>
      <c r="D580" s="25" t="s">
        <v>162</v>
      </c>
      <c r="E580" s="25" t="s">
        <v>100</v>
      </c>
      <c r="F580" s="26">
        <v>366</v>
      </c>
      <c r="G580" s="3">
        <f t="shared" si="8"/>
        <v>366</v>
      </c>
    </row>
    <row r="581" spans="1:8">
      <c r="A581" s="25" t="s">
        <v>1428</v>
      </c>
      <c r="B581" s="25" t="s">
        <v>1429</v>
      </c>
      <c r="C581" s="25" t="s">
        <v>872</v>
      </c>
      <c r="D581" s="25" t="s">
        <v>162</v>
      </c>
      <c r="E581" s="25" t="s">
        <v>100</v>
      </c>
      <c r="F581" s="26">
        <v>-36558.82</v>
      </c>
      <c r="G581" s="3">
        <f t="shared" ref="G581:G588" si="9">ROUND(F581,0)</f>
        <v>-36559</v>
      </c>
    </row>
    <row r="582" spans="1:8">
      <c r="A582" s="25" t="s">
        <v>1430</v>
      </c>
      <c r="B582" s="25" t="s">
        <v>1431</v>
      </c>
      <c r="C582" s="25" t="s">
        <v>872</v>
      </c>
      <c r="D582" s="25" t="s">
        <v>162</v>
      </c>
      <c r="E582" s="25" t="s">
        <v>100</v>
      </c>
      <c r="F582" s="26">
        <v>62</v>
      </c>
      <c r="G582" s="3">
        <f t="shared" si="9"/>
        <v>62</v>
      </c>
    </row>
    <row r="583" spans="1:8">
      <c r="A583" s="25" t="s">
        <v>1432</v>
      </c>
      <c r="B583" s="25" t="s">
        <v>1433</v>
      </c>
      <c r="C583" s="25" t="s">
        <v>872</v>
      </c>
      <c r="D583" s="25" t="s">
        <v>162</v>
      </c>
      <c r="E583" s="25" t="s">
        <v>100</v>
      </c>
      <c r="F583" s="26">
        <v>0</v>
      </c>
      <c r="G583" s="3">
        <f t="shared" si="9"/>
        <v>0</v>
      </c>
    </row>
    <row r="584" spans="1:8">
      <c r="A584" s="25" t="s">
        <v>1434</v>
      </c>
      <c r="B584" s="25" t="s">
        <v>1435</v>
      </c>
      <c r="C584" s="25" t="s">
        <v>872</v>
      </c>
      <c r="D584" s="25" t="s">
        <v>162</v>
      </c>
      <c r="E584" s="25" t="s">
        <v>100</v>
      </c>
      <c r="F584" s="26">
        <v>0</v>
      </c>
      <c r="G584" s="3">
        <f t="shared" si="9"/>
        <v>0</v>
      </c>
    </row>
    <row r="585" spans="1:8">
      <c r="A585" s="25" t="s">
        <v>1436</v>
      </c>
      <c r="B585" s="25" t="s">
        <v>1437</v>
      </c>
      <c r="C585" s="25" t="s">
        <v>872</v>
      </c>
      <c r="D585" s="25" t="s">
        <v>162</v>
      </c>
      <c r="E585" s="25" t="s">
        <v>100</v>
      </c>
      <c r="F585" s="26">
        <v>1580</v>
      </c>
      <c r="G585" s="3">
        <f t="shared" si="9"/>
        <v>1580</v>
      </c>
    </row>
    <row r="586" spans="1:8">
      <c r="A586" s="25" t="s">
        <v>1438</v>
      </c>
      <c r="B586" s="25" t="s">
        <v>1439</v>
      </c>
      <c r="C586" s="25" t="s">
        <v>872</v>
      </c>
      <c r="D586" s="25" t="s">
        <v>169</v>
      </c>
      <c r="E586" s="25" t="s">
        <v>1440</v>
      </c>
      <c r="F586" s="26">
        <v>-41912.870000000003</v>
      </c>
      <c r="G586" s="3">
        <f t="shared" si="9"/>
        <v>-41913</v>
      </c>
    </row>
    <row r="587" spans="1:8">
      <c r="A587" s="25" t="s">
        <v>1441</v>
      </c>
      <c r="B587" s="25" t="s">
        <v>1442</v>
      </c>
      <c r="C587" s="25" t="s">
        <v>872</v>
      </c>
      <c r="D587" s="25" t="s">
        <v>169</v>
      </c>
      <c r="E587" s="25" t="s">
        <v>1443</v>
      </c>
      <c r="F587" s="26">
        <v>-3237187.43</v>
      </c>
      <c r="G587" s="3">
        <f t="shared" si="9"/>
        <v>-3237187</v>
      </c>
    </row>
    <row r="588" spans="1:8">
      <c r="A588" s="25" t="s">
        <v>1444</v>
      </c>
      <c r="B588" s="25" t="s">
        <v>1445</v>
      </c>
      <c r="C588" s="25" t="s">
        <v>872</v>
      </c>
      <c r="D588" s="25" t="s">
        <v>169</v>
      </c>
      <c r="E588" s="25" t="s">
        <v>1446</v>
      </c>
      <c r="F588" s="26">
        <v>-70697137.560000002</v>
      </c>
      <c r="G588" s="3">
        <f t="shared" si="9"/>
        <v>-70697138</v>
      </c>
    </row>
    <row r="589" spans="1:8">
      <c r="H589" s="28">
        <f>SUM(H3:H588)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586"/>
  <sheetViews>
    <sheetView topLeftCell="A349" workbookViewId="0">
      <selection activeCell="J380" sqref="J380"/>
    </sheetView>
  </sheetViews>
  <sheetFormatPr baseColWidth="10" defaultColWidth="8.5" defaultRowHeight="14"/>
  <cols>
    <col min="1" max="1" width="8" bestFit="1" customWidth="1"/>
    <col min="2" max="2" width="37" bestFit="1" customWidth="1"/>
    <col min="3" max="3" width="15.5" bestFit="1" customWidth="1"/>
    <col min="5" max="6" width="13" bestFit="1" customWidth="1"/>
    <col min="7" max="7" width="14.5" style="3" bestFit="1" customWidth="1"/>
    <col min="8" max="9" width="14.5" style="3" customWidth="1"/>
    <col min="10" max="10" width="10.5" bestFit="1" customWidth="1"/>
    <col min="11" max="11" width="6.5" bestFit="1" customWidth="1"/>
    <col min="12" max="12" width="24.5" customWidth="1"/>
    <col min="13" max="13" width="12" bestFit="1" customWidth="1"/>
    <col min="14" max="15" width="13" bestFit="1" customWidth="1"/>
    <col min="16" max="16" width="10.5" bestFit="1" customWidth="1"/>
  </cols>
  <sheetData>
    <row r="1" spans="1:9">
      <c r="A1" t="s">
        <v>147</v>
      </c>
      <c r="B1" t="s">
        <v>148</v>
      </c>
      <c r="C1" t="s">
        <v>149</v>
      </c>
      <c r="D1" t="s">
        <v>150</v>
      </c>
      <c r="E1" t="s">
        <v>152</v>
      </c>
      <c r="I1" s="3" t="s">
        <v>2324</v>
      </c>
    </row>
    <row r="2" spans="1:9">
      <c r="A2">
        <v>100000</v>
      </c>
      <c r="B2" t="s">
        <v>155</v>
      </c>
      <c r="C2" t="s">
        <v>156</v>
      </c>
      <c r="D2" t="s">
        <v>157</v>
      </c>
      <c r="E2">
        <v>0</v>
      </c>
      <c r="F2" s="14"/>
      <c r="G2" s="21"/>
      <c r="H2" s="21"/>
      <c r="I2" s="22"/>
    </row>
    <row r="3" spans="1:9">
      <c r="A3">
        <v>110000</v>
      </c>
      <c r="B3" t="s">
        <v>159</v>
      </c>
      <c r="C3" t="s">
        <v>156</v>
      </c>
      <c r="D3" t="s">
        <v>157</v>
      </c>
      <c r="E3">
        <v>0</v>
      </c>
      <c r="F3" s="14"/>
      <c r="G3" s="21"/>
      <c r="H3" s="21"/>
      <c r="I3" s="22"/>
    </row>
    <row r="4" spans="1:9">
      <c r="A4">
        <v>110010</v>
      </c>
      <c r="B4" t="s">
        <v>161</v>
      </c>
      <c r="C4" t="s">
        <v>156</v>
      </c>
      <c r="D4" t="s">
        <v>162</v>
      </c>
      <c r="E4" s="1">
        <v>-6896700</v>
      </c>
      <c r="F4" s="15">
        <f>ROUND(E4,0)</f>
        <v>-6896700</v>
      </c>
      <c r="G4" s="21"/>
      <c r="H4" s="21"/>
      <c r="I4" s="22"/>
    </row>
    <row r="5" spans="1:9">
      <c r="A5">
        <v>110020</v>
      </c>
      <c r="B5" t="s">
        <v>2325</v>
      </c>
      <c r="C5" t="s">
        <v>156</v>
      </c>
      <c r="D5" t="s">
        <v>162</v>
      </c>
      <c r="E5" s="1">
        <v>-759962.5</v>
      </c>
      <c r="F5" s="15">
        <f t="shared" ref="F5:F68" si="0">ROUND(E5,0)</f>
        <v>-759963</v>
      </c>
      <c r="G5" s="21"/>
      <c r="H5" s="21"/>
      <c r="I5" s="22"/>
    </row>
    <row r="6" spans="1:9">
      <c r="A6">
        <v>111199</v>
      </c>
      <c r="B6" t="s">
        <v>168</v>
      </c>
      <c r="C6" t="s">
        <v>156</v>
      </c>
      <c r="D6" t="s">
        <v>169</v>
      </c>
      <c r="E6" s="1">
        <v>-7656662.5</v>
      </c>
      <c r="F6" s="15">
        <f t="shared" si="0"/>
        <v>-7656663</v>
      </c>
      <c r="G6" s="21"/>
      <c r="H6" s="21"/>
      <c r="I6" s="22"/>
    </row>
    <row r="7" spans="1:9">
      <c r="A7">
        <v>120000</v>
      </c>
      <c r="B7" t="s">
        <v>172</v>
      </c>
      <c r="C7" t="s">
        <v>156</v>
      </c>
      <c r="D7" t="s">
        <v>157</v>
      </c>
      <c r="E7">
        <v>0</v>
      </c>
      <c r="F7" s="15">
        <f t="shared" si="0"/>
        <v>0</v>
      </c>
      <c r="G7" s="21"/>
      <c r="H7" s="21"/>
      <c r="I7" s="22"/>
    </row>
    <row r="8" spans="1:9">
      <c r="A8">
        <v>120010</v>
      </c>
      <c r="B8" t="s">
        <v>174</v>
      </c>
      <c r="C8" t="s">
        <v>156</v>
      </c>
      <c r="D8" t="s">
        <v>162</v>
      </c>
      <c r="E8" s="1">
        <v>-6841334</v>
      </c>
      <c r="F8" s="15">
        <f t="shared" si="0"/>
        <v>-6841334</v>
      </c>
      <c r="G8" s="21"/>
      <c r="H8" s="21"/>
      <c r="I8" s="22"/>
    </row>
    <row r="9" spans="1:9">
      <c r="A9">
        <v>120020</v>
      </c>
      <c r="B9" t="s">
        <v>176</v>
      </c>
      <c r="C9" t="s">
        <v>156</v>
      </c>
      <c r="D9" t="s">
        <v>162</v>
      </c>
      <c r="E9" s="1">
        <v>-304909</v>
      </c>
      <c r="F9" s="15">
        <f t="shared" si="0"/>
        <v>-304909</v>
      </c>
      <c r="G9" s="21"/>
      <c r="H9" s="21"/>
      <c r="I9" s="22"/>
    </row>
    <row r="10" spans="1:9">
      <c r="A10">
        <v>120030</v>
      </c>
      <c r="B10" t="s">
        <v>178</v>
      </c>
      <c r="C10" t="s">
        <v>156</v>
      </c>
      <c r="D10" t="s">
        <v>162</v>
      </c>
      <c r="E10" s="1">
        <v>-591458.9</v>
      </c>
      <c r="F10" s="15">
        <f t="shared" si="0"/>
        <v>-591459</v>
      </c>
      <c r="G10" s="21"/>
      <c r="H10" s="21"/>
      <c r="I10" s="22"/>
    </row>
    <row r="11" spans="1:9">
      <c r="A11">
        <v>120040</v>
      </c>
      <c r="B11" t="s">
        <v>180</v>
      </c>
      <c r="C11" t="s">
        <v>156</v>
      </c>
      <c r="D11" t="s">
        <v>162</v>
      </c>
      <c r="E11" s="1">
        <v>456261.93</v>
      </c>
      <c r="F11" s="15">
        <f t="shared" si="0"/>
        <v>456262</v>
      </c>
      <c r="G11" s="21"/>
      <c r="H11" s="21"/>
      <c r="I11" s="22"/>
    </row>
    <row r="12" spans="1:9">
      <c r="A12">
        <v>120050</v>
      </c>
      <c r="B12" t="s">
        <v>184</v>
      </c>
      <c r="C12" t="s">
        <v>156</v>
      </c>
      <c r="D12" t="s">
        <v>162</v>
      </c>
      <c r="E12" s="1">
        <v>-607807</v>
      </c>
      <c r="F12" s="15">
        <f t="shared" si="0"/>
        <v>-607807</v>
      </c>
      <c r="G12" s="21"/>
      <c r="H12" s="21"/>
      <c r="I12" s="22"/>
    </row>
    <row r="13" spans="1:9">
      <c r="A13">
        <v>121199</v>
      </c>
      <c r="B13" t="s">
        <v>186</v>
      </c>
      <c r="C13" t="s">
        <v>156</v>
      </c>
      <c r="D13" t="s">
        <v>169</v>
      </c>
      <c r="E13" s="1">
        <v>-7889246.9699999997</v>
      </c>
      <c r="F13" s="15">
        <f t="shared" si="0"/>
        <v>-7889247</v>
      </c>
      <c r="G13" s="21"/>
      <c r="H13" s="21"/>
      <c r="I13" s="22"/>
    </row>
    <row r="14" spans="1:9">
      <c r="A14">
        <v>130000</v>
      </c>
      <c r="B14" t="s">
        <v>189</v>
      </c>
      <c r="C14" t="s">
        <v>156</v>
      </c>
      <c r="D14" t="s">
        <v>157</v>
      </c>
      <c r="E14">
        <v>0</v>
      </c>
      <c r="F14" s="15">
        <f t="shared" si="0"/>
        <v>0</v>
      </c>
      <c r="G14" s="21"/>
      <c r="H14" s="21"/>
      <c r="I14" s="22"/>
    </row>
    <row r="15" spans="1:9">
      <c r="A15">
        <v>130001</v>
      </c>
      <c r="B15" t="s">
        <v>191</v>
      </c>
      <c r="C15" t="s">
        <v>156</v>
      </c>
      <c r="D15" t="s">
        <v>157</v>
      </c>
      <c r="E15">
        <v>0</v>
      </c>
      <c r="F15" s="15">
        <f t="shared" si="0"/>
        <v>0</v>
      </c>
      <c r="G15" s="21"/>
      <c r="H15" s="21"/>
      <c r="I15" s="22"/>
    </row>
    <row r="16" spans="1:9">
      <c r="A16">
        <v>130010</v>
      </c>
      <c r="B16" t="s">
        <v>193</v>
      </c>
      <c r="C16" t="s">
        <v>156</v>
      </c>
      <c r="D16" t="s">
        <v>162</v>
      </c>
      <c r="E16">
        <v>0</v>
      </c>
      <c r="F16" s="15">
        <f t="shared" si="0"/>
        <v>0</v>
      </c>
      <c r="G16" s="21">
        <f>-1820853-13265</f>
        <v>-1834118</v>
      </c>
      <c r="H16" s="21"/>
      <c r="I16" s="22"/>
    </row>
    <row r="17" spans="1:9">
      <c r="A17">
        <v>131199</v>
      </c>
      <c r="B17" t="s">
        <v>195</v>
      </c>
      <c r="C17" t="s">
        <v>156</v>
      </c>
      <c r="D17" t="s">
        <v>169</v>
      </c>
      <c r="E17">
        <v>0</v>
      </c>
      <c r="F17" s="15">
        <f t="shared" si="0"/>
        <v>0</v>
      </c>
      <c r="G17" s="21"/>
      <c r="H17" s="21"/>
      <c r="I17" s="22"/>
    </row>
    <row r="18" spans="1:9">
      <c r="A18">
        <v>140000</v>
      </c>
      <c r="B18" t="s">
        <v>198</v>
      </c>
      <c r="C18" t="s">
        <v>156</v>
      </c>
      <c r="D18" t="s">
        <v>157</v>
      </c>
      <c r="E18">
        <v>0</v>
      </c>
      <c r="F18" s="15">
        <f t="shared" si="0"/>
        <v>0</v>
      </c>
      <c r="G18" s="21"/>
      <c r="H18" s="21"/>
      <c r="I18" s="22"/>
    </row>
    <row r="19" spans="1:9">
      <c r="A19">
        <v>140010</v>
      </c>
      <c r="B19" t="s">
        <v>2062</v>
      </c>
      <c r="C19" t="s">
        <v>156</v>
      </c>
      <c r="D19" t="s">
        <v>162</v>
      </c>
      <c r="E19" s="1">
        <v>14714.35</v>
      </c>
      <c r="F19" s="15">
        <f t="shared" si="0"/>
        <v>14714</v>
      </c>
      <c r="G19" s="21"/>
      <c r="H19" s="21"/>
      <c r="I19" s="22"/>
    </row>
    <row r="20" spans="1:9">
      <c r="A20">
        <v>140020</v>
      </c>
      <c r="B20" t="s">
        <v>2058</v>
      </c>
      <c r="C20" t="s">
        <v>156</v>
      </c>
      <c r="D20" t="s">
        <v>162</v>
      </c>
      <c r="E20" s="1">
        <v>-7512.52</v>
      </c>
      <c r="F20" s="15">
        <f t="shared" si="0"/>
        <v>-7513</v>
      </c>
      <c r="G20" s="21"/>
      <c r="H20" s="21"/>
      <c r="I20" s="22"/>
    </row>
    <row r="21" spans="1:9">
      <c r="A21">
        <v>140040</v>
      </c>
      <c r="B21" t="s">
        <v>2326</v>
      </c>
      <c r="C21" t="s">
        <v>156</v>
      </c>
      <c r="D21" t="s">
        <v>162</v>
      </c>
      <c r="E21">
        <v>0</v>
      </c>
      <c r="F21" s="15">
        <f t="shared" si="0"/>
        <v>0</v>
      </c>
      <c r="G21" s="21">
        <v>-2728329</v>
      </c>
      <c r="H21" s="21"/>
      <c r="I21" s="22"/>
    </row>
    <row r="22" spans="1:9">
      <c r="A22">
        <v>140050</v>
      </c>
      <c r="B22" t="s">
        <v>2327</v>
      </c>
      <c r="C22" t="s">
        <v>156</v>
      </c>
      <c r="D22" t="s">
        <v>162</v>
      </c>
      <c r="E22">
        <v>0</v>
      </c>
      <c r="F22" s="15">
        <f t="shared" si="0"/>
        <v>0</v>
      </c>
      <c r="G22" s="21"/>
      <c r="H22" s="21"/>
      <c r="I22" s="22"/>
    </row>
    <row r="23" spans="1:9">
      <c r="A23">
        <v>140060</v>
      </c>
      <c r="B23" t="s">
        <v>2307</v>
      </c>
      <c r="C23" t="s">
        <v>156</v>
      </c>
      <c r="D23" t="s">
        <v>162</v>
      </c>
      <c r="E23">
        <v>0</v>
      </c>
      <c r="F23" s="15">
        <f t="shared" si="0"/>
        <v>0</v>
      </c>
      <c r="G23" s="21"/>
      <c r="H23" s="21"/>
      <c r="I23" s="22"/>
    </row>
    <row r="24" spans="1:9">
      <c r="A24">
        <v>141199</v>
      </c>
      <c r="B24" t="s">
        <v>222</v>
      </c>
      <c r="C24" t="s">
        <v>156</v>
      </c>
      <c r="D24" t="s">
        <v>169</v>
      </c>
      <c r="E24" s="1">
        <v>7201.83</v>
      </c>
      <c r="F24" s="15">
        <f t="shared" si="0"/>
        <v>7202</v>
      </c>
      <c r="G24" s="21"/>
      <c r="H24" s="21"/>
      <c r="I24" s="22"/>
    </row>
    <row r="25" spans="1:9">
      <c r="A25">
        <v>150000</v>
      </c>
      <c r="B25" t="s">
        <v>225</v>
      </c>
      <c r="C25" t="s">
        <v>156</v>
      </c>
      <c r="D25" t="s">
        <v>157</v>
      </c>
      <c r="E25">
        <v>0</v>
      </c>
      <c r="F25" s="15">
        <f t="shared" si="0"/>
        <v>0</v>
      </c>
      <c r="G25" s="21"/>
      <c r="H25" s="21"/>
      <c r="I25" s="22"/>
    </row>
    <row r="26" spans="1:9">
      <c r="A26">
        <v>150010</v>
      </c>
      <c r="B26" t="s">
        <v>227</v>
      </c>
      <c r="C26" t="s">
        <v>156</v>
      </c>
      <c r="D26" t="s">
        <v>162</v>
      </c>
      <c r="E26" s="1">
        <v>-1806810</v>
      </c>
      <c r="F26" s="15">
        <f t="shared" si="0"/>
        <v>-1806810</v>
      </c>
      <c r="G26" s="21"/>
      <c r="H26" s="21"/>
      <c r="I26" s="22"/>
    </row>
    <row r="27" spans="1:9">
      <c r="A27">
        <v>150020</v>
      </c>
      <c r="B27" t="s">
        <v>229</v>
      </c>
      <c r="C27" t="s">
        <v>156</v>
      </c>
      <c r="D27" t="s">
        <v>162</v>
      </c>
      <c r="E27" s="1">
        <v>156063.13</v>
      </c>
      <c r="F27" s="15">
        <f t="shared" si="0"/>
        <v>156063</v>
      </c>
      <c r="G27" s="21"/>
      <c r="H27" s="21"/>
      <c r="I27" s="22"/>
    </row>
    <row r="28" spans="1:9">
      <c r="A28">
        <v>150030</v>
      </c>
      <c r="B28" t="s">
        <v>231</v>
      </c>
      <c r="C28" t="s">
        <v>156</v>
      </c>
      <c r="D28" t="s">
        <v>162</v>
      </c>
      <c r="E28" s="1">
        <v>26099.97</v>
      </c>
      <c r="F28" s="15">
        <f t="shared" si="0"/>
        <v>26100</v>
      </c>
      <c r="G28" s="21"/>
      <c r="H28" s="21"/>
      <c r="I28" s="22"/>
    </row>
    <row r="29" spans="1:9">
      <c r="A29">
        <v>150040</v>
      </c>
      <c r="B29" t="s">
        <v>233</v>
      </c>
      <c r="C29" t="s">
        <v>156</v>
      </c>
      <c r="D29" t="s">
        <v>162</v>
      </c>
      <c r="E29" s="1">
        <v>281221.3</v>
      </c>
      <c r="F29" s="15">
        <f t="shared" si="0"/>
        <v>281221</v>
      </c>
      <c r="G29" s="21"/>
      <c r="H29" s="21"/>
      <c r="I29" s="22"/>
    </row>
    <row r="30" spans="1:9">
      <c r="A30">
        <v>150050</v>
      </c>
      <c r="B30" t="s">
        <v>235</v>
      </c>
      <c r="C30" t="s">
        <v>156</v>
      </c>
      <c r="D30" t="s">
        <v>162</v>
      </c>
      <c r="E30" s="1">
        <v>-7479</v>
      </c>
      <c r="F30" s="15">
        <f t="shared" si="0"/>
        <v>-7479</v>
      </c>
      <c r="G30" s="21"/>
      <c r="H30" s="21"/>
      <c r="I30" s="22"/>
    </row>
    <row r="31" spans="1:9">
      <c r="A31">
        <v>150060</v>
      </c>
      <c r="B31" t="s">
        <v>237</v>
      </c>
      <c r="C31" t="s">
        <v>156</v>
      </c>
      <c r="D31" t="s">
        <v>162</v>
      </c>
      <c r="E31" s="1">
        <v>36136.199999999997</v>
      </c>
      <c r="F31" s="15">
        <f t="shared" si="0"/>
        <v>36136</v>
      </c>
      <c r="G31" s="21"/>
      <c r="H31" s="21"/>
      <c r="I31" s="22"/>
    </row>
    <row r="32" spans="1:9">
      <c r="A32">
        <v>150070</v>
      </c>
      <c r="B32" t="s">
        <v>239</v>
      </c>
      <c r="C32" t="s">
        <v>156</v>
      </c>
      <c r="D32" t="s">
        <v>162</v>
      </c>
      <c r="E32" s="1">
        <v>1282835.1000000001</v>
      </c>
      <c r="F32" s="15">
        <f t="shared" si="0"/>
        <v>1282835</v>
      </c>
      <c r="G32" s="21"/>
      <c r="H32" s="21"/>
      <c r="I32" s="22"/>
    </row>
    <row r="33" spans="1:9">
      <c r="A33">
        <v>150299</v>
      </c>
      <c r="B33" t="s">
        <v>241</v>
      </c>
      <c r="C33" t="s">
        <v>156</v>
      </c>
      <c r="D33" t="s">
        <v>169</v>
      </c>
      <c r="E33" s="1">
        <v>-31933.3</v>
      </c>
      <c r="F33" s="15">
        <f t="shared" si="0"/>
        <v>-31933</v>
      </c>
      <c r="G33" s="21"/>
      <c r="H33" s="21"/>
      <c r="I33" s="22"/>
    </row>
    <row r="34" spans="1:9">
      <c r="A34">
        <v>150300</v>
      </c>
      <c r="B34" t="s">
        <v>244</v>
      </c>
      <c r="C34" t="s">
        <v>156</v>
      </c>
      <c r="D34" t="s">
        <v>157</v>
      </c>
      <c r="E34">
        <v>0</v>
      </c>
      <c r="F34" s="15">
        <f t="shared" si="0"/>
        <v>0</v>
      </c>
      <c r="G34" s="21"/>
      <c r="H34" s="21"/>
      <c r="I34" s="22"/>
    </row>
    <row r="35" spans="1:9">
      <c r="A35">
        <v>150310</v>
      </c>
      <c r="B35" t="s">
        <v>246</v>
      </c>
      <c r="C35" t="s">
        <v>156</v>
      </c>
      <c r="D35" t="s">
        <v>162</v>
      </c>
      <c r="E35" s="1">
        <v>-1830946.22</v>
      </c>
      <c r="F35" s="15">
        <f t="shared" si="0"/>
        <v>-1830946</v>
      </c>
      <c r="G35" s="21"/>
      <c r="H35" s="21"/>
      <c r="I35" s="22"/>
    </row>
    <row r="36" spans="1:9">
      <c r="A36">
        <v>150399</v>
      </c>
      <c r="B36" t="s">
        <v>248</v>
      </c>
      <c r="C36" t="s">
        <v>156</v>
      </c>
      <c r="D36" t="s">
        <v>169</v>
      </c>
      <c r="E36" s="1">
        <v>-1830946.22</v>
      </c>
      <c r="F36" s="15">
        <f t="shared" si="0"/>
        <v>-1830946</v>
      </c>
      <c r="G36" s="21"/>
      <c r="H36" s="21"/>
      <c r="I36" s="22"/>
    </row>
    <row r="37" spans="1:9">
      <c r="A37">
        <v>150499</v>
      </c>
      <c r="B37" t="s">
        <v>251</v>
      </c>
      <c r="C37" t="s">
        <v>156</v>
      </c>
      <c r="D37" t="s">
        <v>169</v>
      </c>
      <c r="E37" s="1">
        <v>-1855677.69</v>
      </c>
      <c r="F37" s="15">
        <f t="shared" si="0"/>
        <v>-1855678</v>
      </c>
      <c r="G37" s="21"/>
      <c r="H37" s="21"/>
      <c r="I37" s="22"/>
    </row>
    <row r="38" spans="1:9">
      <c r="A38">
        <v>160000</v>
      </c>
      <c r="B38" t="s">
        <v>254</v>
      </c>
      <c r="C38" t="s">
        <v>156</v>
      </c>
      <c r="D38" t="s">
        <v>157</v>
      </c>
      <c r="E38">
        <v>0</v>
      </c>
      <c r="F38" s="15">
        <f t="shared" si="0"/>
        <v>0</v>
      </c>
      <c r="G38" s="21"/>
      <c r="H38" s="21"/>
      <c r="I38" s="22"/>
    </row>
    <row r="39" spans="1:9">
      <c r="A39">
        <v>160010</v>
      </c>
      <c r="B39" t="s">
        <v>256</v>
      </c>
      <c r="C39" t="s">
        <v>156</v>
      </c>
      <c r="D39" t="s">
        <v>162</v>
      </c>
      <c r="E39" s="1">
        <v>-134931.23000000001</v>
      </c>
      <c r="F39" s="15">
        <f t="shared" si="0"/>
        <v>-134931</v>
      </c>
      <c r="G39" s="21"/>
      <c r="H39" s="21"/>
      <c r="I39" s="22"/>
    </row>
    <row r="40" spans="1:9">
      <c r="A40">
        <v>160020</v>
      </c>
      <c r="B40" t="s">
        <v>258</v>
      </c>
      <c r="C40" t="s">
        <v>156</v>
      </c>
      <c r="D40" t="s">
        <v>162</v>
      </c>
      <c r="E40">
        <v>-955.37</v>
      </c>
      <c r="F40" s="15">
        <f t="shared" si="0"/>
        <v>-955</v>
      </c>
      <c r="G40" s="21"/>
      <c r="H40" s="21"/>
      <c r="I40" s="22"/>
    </row>
    <row r="41" spans="1:9">
      <c r="A41">
        <v>160030</v>
      </c>
      <c r="B41" t="s">
        <v>260</v>
      </c>
      <c r="C41" t="s">
        <v>156</v>
      </c>
      <c r="D41" t="s">
        <v>162</v>
      </c>
      <c r="E41">
        <v>0</v>
      </c>
      <c r="F41" s="15">
        <f t="shared" si="0"/>
        <v>0</v>
      </c>
      <c r="G41" s="21"/>
      <c r="H41" s="21"/>
      <c r="I41" s="22"/>
    </row>
    <row r="42" spans="1:9">
      <c r="A42">
        <v>160040</v>
      </c>
      <c r="B42" t="s">
        <v>262</v>
      </c>
      <c r="C42" t="s">
        <v>156</v>
      </c>
      <c r="D42" t="s">
        <v>162</v>
      </c>
      <c r="E42">
        <v>0</v>
      </c>
      <c r="F42" s="15">
        <f t="shared" si="0"/>
        <v>0</v>
      </c>
      <c r="G42" s="21"/>
      <c r="H42" s="21"/>
      <c r="I42" s="22"/>
    </row>
    <row r="43" spans="1:9">
      <c r="A43">
        <v>160050</v>
      </c>
      <c r="B43" t="s">
        <v>264</v>
      </c>
      <c r="C43" t="s">
        <v>156</v>
      </c>
      <c r="D43" t="s">
        <v>162</v>
      </c>
      <c r="E43" s="1">
        <v>-12144.31</v>
      </c>
      <c r="F43" s="15">
        <f t="shared" si="0"/>
        <v>-12144</v>
      </c>
      <c r="G43" s="21"/>
      <c r="H43" s="21"/>
      <c r="I43" s="22"/>
    </row>
    <row r="44" spans="1:9">
      <c r="A44">
        <v>160060</v>
      </c>
      <c r="B44" t="s">
        <v>266</v>
      </c>
      <c r="C44" t="s">
        <v>156</v>
      </c>
      <c r="D44" t="s">
        <v>162</v>
      </c>
      <c r="E44" s="1">
        <v>-36311.199999999997</v>
      </c>
      <c r="F44" s="15">
        <f t="shared" si="0"/>
        <v>-36311</v>
      </c>
      <c r="G44" s="21"/>
      <c r="H44" s="21"/>
      <c r="I44" s="22"/>
    </row>
    <row r="45" spans="1:9">
      <c r="A45">
        <v>160070</v>
      </c>
      <c r="B45" t="s">
        <v>268</v>
      </c>
      <c r="C45" t="s">
        <v>156</v>
      </c>
      <c r="D45" t="s">
        <v>162</v>
      </c>
      <c r="E45">
        <v>0</v>
      </c>
      <c r="F45" s="15">
        <f t="shared" si="0"/>
        <v>0</v>
      </c>
      <c r="G45" s="21"/>
      <c r="H45" s="21"/>
      <c r="I45" s="22"/>
    </row>
    <row r="46" spans="1:9">
      <c r="A46">
        <v>160080</v>
      </c>
      <c r="B46" t="s">
        <v>270</v>
      </c>
      <c r="C46" t="s">
        <v>156</v>
      </c>
      <c r="D46" t="s">
        <v>162</v>
      </c>
      <c r="E46">
        <v>0</v>
      </c>
      <c r="F46" s="15">
        <f t="shared" si="0"/>
        <v>0</v>
      </c>
      <c r="G46" s="21"/>
      <c r="H46" s="21"/>
      <c r="I46" s="22"/>
    </row>
    <row r="47" spans="1:9">
      <c r="A47">
        <v>160090</v>
      </c>
      <c r="B47" t="s">
        <v>835</v>
      </c>
      <c r="C47" t="s">
        <v>156</v>
      </c>
      <c r="D47" t="s">
        <v>162</v>
      </c>
      <c r="E47" s="1">
        <v>3515.79</v>
      </c>
      <c r="F47" s="15">
        <f t="shared" si="0"/>
        <v>3516</v>
      </c>
      <c r="G47" s="21"/>
      <c r="H47" s="21"/>
      <c r="I47" s="22"/>
    </row>
    <row r="48" spans="1:9">
      <c r="A48">
        <v>160130</v>
      </c>
      <c r="B48" t="s">
        <v>272</v>
      </c>
      <c r="C48" t="s">
        <v>156</v>
      </c>
      <c r="D48" t="s">
        <v>162</v>
      </c>
      <c r="E48">
        <v>0</v>
      </c>
      <c r="F48" s="15">
        <f t="shared" si="0"/>
        <v>0</v>
      </c>
      <c r="G48" s="21"/>
      <c r="H48" s="21"/>
      <c r="I48" s="22"/>
    </row>
    <row r="49" spans="1:10">
      <c r="A49">
        <v>160140</v>
      </c>
      <c r="B49" t="s">
        <v>274</v>
      </c>
      <c r="C49" t="s">
        <v>156</v>
      </c>
      <c r="D49" t="s">
        <v>162</v>
      </c>
      <c r="E49">
        <v>0</v>
      </c>
      <c r="F49" s="15">
        <f t="shared" si="0"/>
        <v>0</v>
      </c>
      <c r="G49" s="21"/>
      <c r="H49" s="21"/>
      <c r="I49" s="22"/>
    </row>
    <row r="50" spans="1:10">
      <c r="A50">
        <v>160150</v>
      </c>
      <c r="B50" t="s">
        <v>837</v>
      </c>
      <c r="C50" t="s">
        <v>156</v>
      </c>
      <c r="D50" t="s">
        <v>162</v>
      </c>
      <c r="E50" s="1">
        <v>11672.31</v>
      </c>
      <c r="F50" s="15">
        <f t="shared" si="0"/>
        <v>11672</v>
      </c>
      <c r="G50" s="21"/>
      <c r="H50" s="21"/>
      <c r="I50" s="22"/>
    </row>
    <row r="51" spans="1:10">
      <c r="A51">
        <v>161199</v>
      </c>
      <c r="B51" t="s">
        <v>254</v>
      </c>
      <c r="C51" t="s">
        <v>156</v>
      </c>
      <c r="D51" t="s">
        <v>169</v>
      </c>
      <c r="E51" s="1">
        <v>-169154.01</v>
      </c>
      <c r="F51" s="15">
        <f t="shared" si="0"/>
        <v>-169154</v>
      </c>
      <c r="G51" s="21"/>
      <c r="H51" s="21"/>
      <c r="I51" s="22"/>
    </row>
    <row r="52" spans="1:10">
      <c r="A52">
        <v>171199</v>
      </c>
      <c r="B52" t="s">
        <v>278</v>
      </c>
      <c r="C52" t="s">
        <v>156</v>
      </c>
      <c r="D52" t="s">
        <v>169</v>
      </c>
      <c r="E52" s="1">
        <v>-17570741.170000002</v>
      </c>
      <c r="F52" s="15">
        <f t="shared" si="0"/>
        <v>-17570741</v>
      </c>
      <c r="G52" s="21"/>
      <c r="H52" s="21"/>
      <c r="I52" s="22"/>
    </row>
    <row r="53" spans="1:10">
      <c r="A53">
        <v>200000</v>
      </c>
      <c r="B53" t="s">
        <v>281</v>
      </c>
      <c r="C53" t="s">
        <v>156</v>
      </c>
      <c r="D53" t="s">
        <v>157</v>
      </c>
      <c r="E53">
        <v>0</v>
      </c>
      <c r="F53" s="15">
        <f t="shared" si="0"/>
        <v>0</v>
      </c>
      <c r="G53" s="21"/>
      <c r="H53" s="21"/>
      <c r="I53" s="22"/>
    </row>
    <row r="54" spans="1:10">
      <c r="A54">
        <v>200010</v>
      </c>
      <c r="B54" t="s">
        <v>281</v>
      </c>
      <c r="C54" t="s">
        <v>156</v>
      </c>
      <c r="D54" t="s">
        <v>157</v>
      </c>
      <c r="E54">
        <v>0</v>
      </c>
      <c r="F54" s="15">
        <f t="shared" si="0"/>
        <v>0</v>
      </c>
      <c r="G54" s="21"/>
      <c r="H54" s="21"/>
      <c r="I54" s="22"/>
    </row>
    <row r="55" spans="1:10">
      <c r="A55">
        <v>200030</v>
      </c>
      <c r="B55" t="s">
        <v>284</v>
      </c>
      <c r="C55" t="s">
        <v>156</v>
      </c>
      <c r="D55" t="s">
        <v>157</v>
      </c>
      <c r="E55">
        <v>0</v>
      </c>
      <c r="F55" s="15">
        <f t="shared" si="0"/>
        <v>0</v>
      </c>
      <c r="G55" s="21"/>
      <c r="H55" s="21"/>
      <c r="I55" s="22"/>
    </row>
    <row r="56" spans="1:10">
      <c r="A56">
        <v>210000</v>
      </c>
      <c r="B56" t="s">
        <v>286</v>
      </c>
      <c r="C56" t="s">
        <v>156</v>
      </c>
      <c r="D56" t="s">
        <v>157</v>
      </c>
      <c r="E56">
        <v>0</v>
      </c>
      <c r="F56" s="15">
        <f t="shared" si="0"/>
        <v>0</v>
      </c>
      <c r="G56" s="21"/>
      <c r="H56" s="21"/>
      <c r="I56" s="22"/>
    </row>
    <row r="57" spans="1:10">
      <c r="A57">
        <v>210010</v>
      </c>
      <c r="B57" t="s">
        <v>288</v>
      </c>
      <c r="C57" t="s">
        <v>156</v>
      </c>
      <c r="D57" t="s">
        <v>162</v>
      </c>
      <c r="E57" s="1">
        <v>7492262.3300000001</v>
      </c>
      <c r="F57" s="15">
        <f t="shared" si="0"/>
        <v>7492262</v>
      </c>
      <c r="G57" s="21"/>
      <c r="H57" s="21"/>
      <c r="I57" s="22">
        <v>45000</v>
      </c>
      <c r="J57" t="s">
        <v>2328</v>
      </c>
    </row>
    <row r="58" spans="1:10">
      <c r="A58">
        <v>210020</v>
      </c>
      <c r="B58" t="s">
        <v>290</v>
      </c>
      <c r="C58" t="s">
        <v>156</v>
      </c>
      <c r="D58" t="s">
        <v>162</v>
      </c>
      <c r="E58" s="1">
        <v>3206.79</v>
      </c>
      <c r="F58" s="15">
        <f t="shared" si="0"/>
        <v>3207</v>
      </c>
      <c r="G58" s="21"/>
      <c r="H58" s="21"/>
      <c r="I58" s="22"/>
    </row>
    <row r="59" spans="1:10">
      <c r="A59">
        <v>210030</v>
      </c>
      <c r="B59" t="s">
        <v>216</v>
      </c>
      <c r="C59" t="s">
        <v>156</v>
      </c>
      <c r="D59" t="s">
        <v>162</v>
      </c>
      <c r="E59" s="1">
        <v>3875</v>
      </c>
      <c r="F59" s="15">
        <f t="shared" si="0"/>
        <v>3875</v>
      </c>
      <c r="G59" s="21"/>
      <c r="H59" s="21"/>
      <c r="I59" s="22"/>
    </row>
    <row r="60" spans="1:10">
      <c r="A60">
        <v>210050</v>
      </c>
      <c r="B60" t="s">
        <v>294</v>
      </c>
      <c r="C60" t="s">
        <v>156</v>
      </c>
      <c r="D60" t="s">
        <v>162</v>
      </c>
      <c r="E60" s="1">
        <v>-280911.39</v>
      </c>
      <c r="F60" s="15">
        <f t="shared" si="0"/>
        <v>-280911</v>
      </c>
      <c r="G60" s="21"/>
      <c r="H60" s="21"/>
      <c r="I60" s="22"/>
    </row>
    <row r="61" spans="1:10">
      <c r="A61">
        <v>210060</v>
      </c>
      <c r="B61" t="s">
        <v>296</v>
      </c>
      <c r="C61" t="s">
        <v>156</v>
      </c>
      <c r="D61" t="s">
        <v>162</v>
      </c>
      <c r="E61" s="1">
        <v>312371.48</v>
      </c>
      <c r="F61" s="15">
        <f t="shared" si="0"/>
        <v>312371</v>
      </c>
      <c r="G61" s="21"/>
      <c r="H61" s="21"/>
      <c r="I61" s="22"/>
    </row>
    <row r="62" spans="1:10">
      <c r="A62">
        <v>210070</v>
      </c>
      <c r="B62" t="s">
        <v>298</v>
      </c>
      <c r="C62" t="s">
        <v>156</v>
      </c>
      <c r="D62" t="s">
        <v>162</v>
      </c>
      <c r="E62" s="1">
        <v>703259.74</v>
      </c>
      <c r="F62" s="15">
        <f t="shared" si="0"/>
        <v>703260</v>
      </c>
      <c r="G62" s="21"/>
      <c r="H62" s="21"/>
      <c r="I62" s="22"/>
    </row>
    <row r="63" spans="1:10">
      <c r="A63">
        <v>210080</v>
      </c>
      <c r="B63" t="s">
        <v>300</v>
      </c>
      <c r="C63" t="s">
        <v>156</v>
      </c>
      <c r="D63" t="s">
        <v>162</v>
      </c>
      <c r="E63" s="1">
        <v>127288.67</v>
      </c>
      <c r="F63" s="15">
        <f t="shared" si="0"/>
        <v>127289</v>
      </c>
      <c r="G63" s="21"/>
      <c r="H63" s="21"/>
      <c r="I63" s="22"/>
    </row>
    <row r="64" spans="1:10">
      <c r="A64">
        <v>210090</v>
      </c>
      <c r="B64" t="s">
        <v>302</v>
      </c>
      <c r="C64" t="s">
        <v>156</v>
      </c>
      <c r="D64" t="s">
        <v>162</v>
      </c>
      <c r="E64" s="1">
        <v>37000</v>
      </c>
      <c r="F64" s="15">
        <f t="shared" si="0"/>
        <v>37000</v>
      </c>
      <c r="G64" s="21"/>
      <c r="H64" s="21"/>
      <c r="I64" s="22"/>
    </row>
    <row r="65" spans="1:9">
      <c r="A65">
        <v>210100</v>
      </c>
      <c r="B65" t="s">
        <v>304</v>
      </c>
      <c r="C65" t="s">
        <v>156</v>
      </c>
      <c r="D65" t="s">
        <v>162</v>
      </c>
      <c r="E65" s="1">
        <v>-64875</v>
      </c>
      <c r="F65" s="15">
        <f t="shared" si="0"/>
        <v>-64875</v>
      </c>
      <c r="G65" s="21"/>
      <c r="H65" s="21"/>
      <c r="I65" s="22"/>
    </row>
    <row r="66" spans="1:9">
      <c r="A66">
        <v>210110</v>
      </c>
      <c r="B66" t="s">
        <v>306</v>
      </c>
      <c r="C66" t="s">
        <v>156</v>
      </c>
      <c r="D66" t="s">
        <v>162</v>
      </c>
      <c r="E66" s="1">
        <v>122508.23</v>
      </c>
      <c r="F66" s="15">
        <f t="shared" si="0"/>
        <v>122508</v>
      </c>
      <c r="G66" s="21"/>
      <c r="H66" s="21"/>
      <c r="I66" s="22"/>
    </row>
    <row r="67" spans="1:9">
      <c r="A67">
        <v>210120</v>
      </c>
      <c r="B67" t="s">
        <v>2329</v>
      </c>
      <c r="C67" t="s">
        <v>156</v>
      </c>
      <c r="D67" t="s">
        <v>162</v>
      </c>
      <c r="E67" s="1">
        <v>-60250</v>
      </c>
      <c r="F67" s="15">
        <f t="shared" si="0"/>
        <v>-60250</v>
      </c>
      <c r="G67" s="21"/>
      <c r="H67" s="21"/>
      <c r="I67" s="22"/>
    </row>
    <row r="68" spans="1:9">
      <c r="A68">
        <v>211199</v>
      </c>
      <c r="B68" t="s">
        <v>312</v>
      </c>
      <c r="C68" t="s">
        <v>156</v>
      </c>
      <c r="D68" t="s">
        <v>169</v>
      </c>
      <c r="E68" s="1">
        <v>8395735.8499999996</v>
      </c>
      <c r="F68" s="15">
        <f t="shared" si="0"/>
        <v>8395736</v>
      </c>
      <c r="G68" s="21"/>
      <c r="H68" s="21"/>
      <c r="I68" s="22"/>
    </row>
    <row r="69" spans="1:9">
      <c r="A69">
        <v>220000</v>
      </c>
      <c r="B69" t="s">
        <v>315</v>
      </c>
      <c r="C69" t="s">
        <v>156</v>
      </c>
      <c r="D69" t="s">
        <v>157</v>
      </c>
      <c r="E69">
        <v>0</v>
      </c>
      <c r="F69" s="15">
        <f t="shared" ref="F69:F132" si="1">ROUND(E69,0)</f>
        <v>0</v>
      </c>
      <c r="G69" s="21"/>
      <c r="H69" s="21"/>
      <c r="I69" s="22"/>
    </row>
    <row r="70" spans="1:9">
      <c r="A70">
        <v>220010</v>
      </c>
      <c r="B70" t="s">
        <v>317</v>
      </c>
      <c r="C70" t="s">
        <v>156</v>
      </c>
      <c r="D70" t="s">
        <v>162</v>
      </c>
      <c r="E70" s="1">
        <v>401962.57</v>
      </c>
      <c r="F70" s="15">
        <f t="shared" si="1"/>
        <v>401963</v>
      </c>
      <c r="G70" s="21"/>
      <c r="H70" s="21"/>
      <c r="I70" s="22"/>
    </row>
    <row r="71" spans="1:9">
      <c r="A71">
        <v>220020</v>
      </c>
      <c r="B71" t="s">
        <v>319</v>
      </c>
      <c r="C71" t="s">
        <v>156</v>
      </c>
      <c r="D71" t="s">
        <v>162</v>
      </c>
      <c r="E71" s="1">
        <v>-20980.84</v>
      </c>
      <c r="F71" s="15">
        <f t="shared" si="1"/>
        <v>-20981</v>
      </c>
      <c r="G71" s="21"/>
      <c r="H71" s="21"/>
      <c r="I71" s="22"/>
    </row>
    <row r="72" spans="1:9">
      <c r="A72">
        <v>220030</v>
      </c>
      <c r="B72" t="s">
        <v>321</v>
      </c>
      <c r="C72" t="s">
        <v>156</v>
      </c>
      <c r="D72" t="s">
        <v>162</v>
      </c>
      <c r="E72" s="1">
        <v>121821.06</v>
      </c>
      <c r="F72" s="15">
        <f t="shared" si="1"/>
        <v>121821</v>
      </c>
      <c r="G72" s="21"/>
      <c r="H72" s="21"/>
      <c r="I72" s="22"/>
    </row>
    <row r="73" spans="1:9">
      <c r="A73">
        <v>220040</v>
      </c>
      <c r="B73" t="s">
        <v>323</v>
      </c>
      <c r="C73" t="s">
        <v>156</v>
      </c>
      <c r="D73" t="s">
        <v>162</v>
      </c>
      <c r="E73" s="1">
        <v>306016.33</v>
      </c>
      <c r="F73" s="15">
        <f t="shared" si="1"/>
        <v>306016</v>
      </c>
      <c r="G73" s="21"/>
      <c r="H73" s="21"/>
      <c r="I73" s="22">
        <f>6544+75384</f>
        <v>81928</v>
      </c>
    </row>
    <row r="74" spans="1:9">
      <c r="A74">
        <v>220050</v>
      </c>
      <c r="B74" t="s">
        <v>325</v>
      </c>
      <c r="C74" t="s">
        <v>156</v>
      </c>
      <c r="D74" t="s">
        <v>162</v>
      </c>
      <c r="E74" s="1">
        <v>138589.98000000001</v>
      </c>
      <c r="F74" s="15">
        <f t="shared" si="1"/>
        <v>138590</v>
      </c>
      <c r="G74" s="21"/>
      <c r="H74" s="21"/>
      <c r="I74" s="22"/>
    </row>
    <row r="75" spans="1:9">
      <c r="A75">
        <v>220060</v>
      </c>
      <c r="B75" t="s">
        <v>2150</v>
      </c>
      <c r="C75" t="s">
        <v>156</v>
      </c>
      <c r="D75" t="s">
        <v>162</v>
      </c>
      <c r="E75">
        <v>0</v>
      </c>
      <c r="F75" s="15">
        <f t="shared" si="1"/>
        <v>0</v>
      </c>
      <c r="G75" s="21"/>
      <c r="H75" s="21"/>
      <c r="I75" s="22"/>
    </row>
    <row r="76" spans="1:9">
      <c r="A76">
        <v>221199</v>
      </c>
      <c r="B76" t="s">
        <v>329</v>
      </c>
      <c r="C76" t="s">
        <v>156</v>
      </c>
      <c r="D76" t="s">
        <v>169</v>
      </c>
      <c r="E76" s="1">
        <v>947409.1</v>
      </c>
      <c r="F76" s="15">
        <f t="shared" si="1"/>
        <v>947409</v>
      </c>
      <c r="G76" s="21"/>
      <c r="H76" s="21"/>
      <c r="I76" s="22"/>
    </row>
    <row r="77" spans="1:9">
      <c r="A77">
        <v>230000</v>
      </c>
      <c r="B77" t="s">
        <v>332</v>
      </c>
      <c r="C77" t="s">
        <v>156</v>
      </c>
      <c r="D77" t="s">
        <v>157</v>
      </c>
      <c r="E77">
        <v>0</v>
      </c>
      <c r="F77" s="15">
        <f t="shared" si="1"/>
        <v>0</v>
      </c>
      <c r="G77" s="21"/>
      <c r="H77" s="21"/>
      <c r="I77" s="22"/>
    </row>
    <row r="78" spans="1:9">
      <c r="A78">
        <v>230010</v>
      </c>
      <c r="B78" t="s">
        <v>334</v>
      </c>
      <c r="C78" t="s">
        <v>156</v>
      </c>
      <c r="D78" t="s">
        <v>162</v>
      </c>
      <c r="E78" s="1">
        <v>202764.36</v>
      </c>
      <c r="F78" s="15">
        <f t="shared" si="1"/>
        <v>202764</v>
      </c>
      <c r="G78" s="21"/>
      <c r="H78" s="21"/>
      <c r="I78" s="22"/>
    </row>
    <row r="79" spans="1:9">
      <c r="A79">
        <v>230020</v>
      </c>
      <c r="B79" t="s">
        <v>336</v>
      </c>
      <c r="C79" t="s">
        <v>156</v>
      </c>
      <c r="D79" t="s">
        <v>162</v>
      </c>
      <c r="E79" s="1">
        <v>109100.96</v>
      </c>
      <c r="F79" s="15">
        <f t="shared" si="1"/>
        <v>109101</v>
      </c>
      <c r="G79" s="21"/>
      <c r="H79" s="21"/>
      <c r="I79" s="22"/>
    </row>
    <row r="80" spans="1:9">
      <c r="A80">
        <v>230199</v>
      </c>
      <c r="B80" t="s">
        <v>338</v>
      </c>
      <c r="C80" t="s">
        <v>156</v>
      </c>
      <c r="D80" t="s">
        <v>169</v>
      </c>
      <c r="E80" s="1">
        <v>311865.32</v>
      </c>
      <c r="F80" s="15">
        <f t="shared" si="1"/>
        <v>311865</v>
      </c>
      <c r="G80" s="21"/>
      <c r="H80" s="21"/>
      <c r="I80" s="22"/>
    </row>
    <row r="81" spans="1:9">
      <c r="A81">
        <v>241199</v>
      </c>
      <c r="B81" t="s">
        <v>341</v>
      </c>
      <c r="C81" t="s">
        <v>156</v>
      </c>
      <c r="D81" t="s">
        <v>169</v>
      </c>
      <c r="E81" s="1">
        <v>9655010.2699999996</v>
      </c>
      <c r="F81" s="15">
        <f t="shared" si="1"/>
        <v>9655010</v>
      </c>
      <c r="G81" s="21"/>
      <c r="H81" s="21"/>
      <c r="I81" s="22"/>
    </row>
    <row r="82" spans="1:9">
      <c r="A82">
        <v>300000</v>
      </c>
      <c r="B82" t="s">
        <v>371</v>
      </c>
      <c r="C82" t="s">
        <v>156</v>
      </c>
      <c r="D82" t="s">
        <v>157</v>
      </c>
      <c r="E82">
        <v>0</v>
      </c>
      <c r="F82" s="15">
        <f t="shared" si="1"/>
        <v>0</v>
      </c>
      <c r="G82" s="21"/>
      <c r="H82" s="21"/>
      <c r="I82" s="22"/>
    </row>
    <row r="83" spans="1:9">
      <c r="A83">
        <v>310000</v>
      </c>
      <c r="B83" t="s">
        <v>437</v>
      </c>
      <c r="C83" t="s">
        <v>156</v>
      </c>
      <c r="D83" t="s">
        <v>157</v>
      </c>
      <c r="E83">
        <v>0</v>
      </c>
      <c r="F83" s="15">
        <f t="shared" si="1"/>
        <v>0</v>
      </c>
      <c r="G83" s="21"/>
      <c r="H83" s="21"/>
      <c r="I83" s="22"/>
    </row>
    <row r="84" spans="1:9">
      <c r="A84">
        <v>310100</v>
      </c>
      <c r="B84" t="s">
        <v>2308</v>
      </c>
      <c r="C84" t="s">
        <v>156</v>
      </c>
      <c r="D84" t="s">
        <v>162</v>
      </c>
      <c r="E84">
        <v>300</v>
      </c>
      <c r="F84" s="15">
        <f t="shared" si="1"/>
        <v>300</v>
      </c>
      <c r="G84" s="21"/>
      <c r="H84" s="21">
        <v>-300</v>
      </c>
      <c r="I84" s="22"/>
    </row>
    <row r="85" spans="1:9">
      <c r="A85">
        <v>310110</v>
      </c>
      <c r="B85" t="s">
        <v>2309</v>
      </c>
      <c r="C85" t="s">
        <v>156</v>
      </c>
      <c r="D85" t="s">
        <v>162</v>
      </c>
      <c r="E85" s="1">
        <v>-24540</v>
      </c>
      <c r="F85" s="15">
        <f t="shared" si="1"/>
        <v>-24540</v>
      </c>
      <c r="G85" s="21"/>
      <c r="H85" s="21">
        <v>24540</v>
      </c>
      <c r="I85" s="22"/>
    </row>
    <row r="86" spans="1:9">
      <c r="A86">
        <v>310130</v>
      </c>
      <c r="B86" t="s">
        <v>2310</v>
      </c>
      <c r="C86" t="s">
        <v>156</v>
      </c>
      <c r="D86" t="s">
        <v>162</v>
      </c>
      <c r="E86" s="1">
        <v>220665.79</v>
      </c>
      <c r="F86" s="15">
        <f t="shared" si="1"/>
        <v>220666</v>
      </c>
      <c r="G86" s="21"/>
      <c r="H86" s="21">
        <v>-220666</v>
      </c>
      <c r="I86" s="22"/>
    </row>
    <row r="87" spans="1:9">
      <c r="A87">
        <v>310140</v>
      </c>
      <c r="B87" t="s">
        <v>2228</v>
      </c>
      <c r="C87" t="s">
        <v>156</v>
      </c>
      <c r="D87" t="s">
        <v>169</v>
      </c>
      <c r="E87" s="1">
        <v>196425.79</v>
      </c>
      <c r="F87" s="15">
        <f t="shared" si="1"/>
        <v>196426</v>
      </c>
      <c r="G87" s="21"/>
      <c r="H87" s="21"/>
      <c r="I87" s="22"/>
    </row>
    <row r="88" spans="1:9">
      <c r="A88">
        <v>320000</v>
      </c>
      <c r="B88" t="s">
        <v>2154</v>
      </c>
      <c r="C88" t="s">
        <v>156</v>
      </c>
      <c r="D88" t="s">
        <v>157</v>
      </c>
      <c r="E88">
        <v>0</v>
      </c>
      <c r="F88" s="15">
        <f t="shared" si="1"/>
        <v>0</v>
      </c>
      <c r="G88" s="21"/>
      <c r="H88" s="21"/>
      <c r="I88" s="22"/>
    </row>
    <row r="89" spans="1:9">
      <c r="A89">
        <v>320010</v>
      </c>
      <c r="B89" t="s">
        <v>53</v>
      </c>
      <c r="C89" t="s">
        <v>156</v>
      </c>
      <c r="D89" t="s">
        <v>162</v>
      </c>
      <c r="E89" s="1">
        <v>146223.78</v>
      </c>
      <c r="F89" s="15">
        <f t="shared" si="1"/>
        <v>146224</v>
      </c>
      <c r="G89" s="21"/>
      <c r="H89" s="21"/>
      <c r="I89" s="22"/>
    </row>
    <row r="90" spans="1:9">
      <c r="A90">
        <v>320020</v>
      </c>
      <c r="B90" t="s">
        <v>2156</v>
      </c>
      <c r="C90" t="s">
        <v>156</v>
      </c>
      <c r="D90" t="s">
        <v>162</v>
      </c>
      <c r="E90" s="1">
        <v>14550.03</v>
      </c>
      <c r="F90" s="15">
        <f t="shared" si="1"/>
        <v>14550</v>
      </c>
      <c r="G90" s="21"/>
      <c r="H90" s="21"/>
      <c r="I90" s="22"/>
    </row>
    <row r="91" spans="1:9">
      <c r="A91">
        <v>321199</v>
      </c>
      <c r="B91" t="s">
        <v>379</v>
      </c>
      <c r="C91" t="s">
        <v>156</v>
      </c>
      <c r="D91" t="s">
        <v>169</v>
      </c>
      <c r="E91" s="1">
        <v>160773.81</v>
      </c>
      <c r="F91" s="15">
        <f t="shared" si="1"/>
        <v>160774</v>
      </c>
      <c r="G91" s="21"/>
      <c r="H91" s="21"/>
      <c r="I91" s="22"/>
    </row>
    <row r="92" spans="1:9">
      <c r="A92">
        <v>330000</v>
      </c>
      <c r="B92" t="s">
        <v>2210</v>
      </c>
      <c r="C92" t="s">
        <v>156</v>
      </c>
      <c r="D92" t="s">
        <v>157</v>
      </c>
      <c r="E92">
        <v>0</v>
      </c>
      <c r="F92" s="15">
        <f t="shared" si="1"/>
        <v>0</v>
      </c>
      <c r="G92" s="21"/>
      <c r="H92" s="21"/>
      <c r="I92" s="22"/>
    </row>
    <row r="93" spans="1:9">
      <c r="A93">
        <v>330010</v>
      </c>
      <c r="B93" t="s">
        <v>2311</v>
      </c>
      <c r="C93" t="s">
        <v>156</v>
      </c>
      <c r="D93" t="s">
        <v>162</v>
      </c>
      <c r="E93">
        <v>817.05</v>
      </c>
      <c r="F93" s="15">
        <f t="shared" si="1"/>
        <v>817</v>
      </c>
      <c r="G93" s="21"/>
      <c r="H93" s="21"/>
      <c r="I93" s="22"/>
    </row>
    <row r="94" spans="1:9">
      <c r="A94">
        <v>330020</v>
      </c>
      <c r="B94" t="s">
        <v>2330</v>
      </c>
      <c r="C94" t="s">
        <v>156</v>
      </c>
      <c r="D94" t="s">
        <v>162</v>
      </c>
      <c r="E94">
        <v>0</v>
      </c>
      <c r="F94" s="15">
        <f t="shared" si="1"/>
        <v>0</v>
      </c>
      <c r="G94" s="21"/>
      <c r="H94" s="21"/>
      <c r="I94" s="22"/>
    </row>
    <row r="95" spans="1:9">
      <c r="A95">
        <v>330030</v>
      </c>
      <c r="B95" t="s">
        <v>2331</v>
      </c>
      <c r="C95" t="s">
        <v>156</v>
      </c>
      <c r="D95" t="s">
        <v>162</v>
      </c>
      <c r="E95">
        <v>0</v>
      </c>
      <c r="F95" s="15">
        <f t="shared" si="1"/>
        <v>0</v>
      </c>
      <c r="G95" s="21"/>
      <c r="H95" s="21"/>
      <c r="I95" s="22"/>
    </row>
    <row r="96" spans="1:9">
      <c r="A96">
        <v>330040</v>
      </c>
      <c r="B96" t="s">
        <v>2332</v>
      </c>
      <c r="C96" t="s">
        <v>156</v>
      </c>
      <c r="D96" t="s">
        <v>162</v>
      </c>
      <c r="E96" s="1">
        <v>11748</v>
      </c>
      <c r="F96" s="15">
        <f t="shared" si="1"/>
        <v>11748</v>
      </c>
      <c r="G96" s="21"/>
      <c r="H96" s="21"/>
      <c r="I96" s="22"/>
    </row>
    <row r="97" spans="1:9">
      <c r="A97">
        <v>330050</v>
      </c>
      <c r="B97" t="s">
        <v>2333</v>
      </c>
      <c r="C97" t="s">
        <v>156</v>
      </c>
      <c r="D97" t="s">
        <v>162</v>
      </c>
      <c r="E97">
        <v>0</v>
      </c>
      <c r="F97" s="15">
        <f t="shared" si="1"/>
        <v>0</v>
      </c>
      <c r="G97" s="21"/>
      <c r="H97" s="21"/>
      <c r="I97" s="22"/>
    </row>
    <row r="98" spans="1:9">
      <c r="A98">
        <v>330060</v>
      </c>
      <c r="B98" t="s">
        <v>2334</v>
      </c>
      <c r="C98" t="s">
        <v>156</v>
      </c>
      <c r="D98" t="s">
        <v>162</v>
      </c>
      <c r="E98">
        <v>73.5</v>
      </c>
      <c r="F98" s="15">
        <f t="shared" si="1"/>
        <v>74</v>
      </c>
      <c r="G98" s="21"/>
      <c r="H98" s="21"/>
      <c r="I98" s="22"/>
    </row>
    <row r="99" spans="1:9">
      <c r="A99">
        <v>330070</v>
      </c>
      <c r="B99" t="s">
        <v>2335</v>
      </c>
      <c r="C99" t="s">
        <v>156</v>
      </c>
      <c r="D99" t="s">
        <v>162</v>
      </c>
      <c r="E99" s="1">
        <v>1587.45</v>
      </c>
      <c r="F99" s="15">
        <f t="shared" si="1"/>
        <v>1587</v>
      </c>
      <c r="G99" s="21"/>
      <c r="H99" s="21"/>
      <c r="I99" s="22"/>
    </row>
    <row r="100" spans="1:9">
      <c r="A100">
        <v>330199</v>
      </c>
      <c r="B100" t="s">
        <v>2214</v>
      </c>
      <c r="C100" t="s">
        <v>156</v>
      </c>
      <c r="D100" t="s">
        <v>169</v>
      </c>
      <c r="E100" s="1">
        <v>14226</v>
      </c>
      <c r="F100" s="15">
        <f t="shared" si="1"/>
        <v>14226</v>
      </c>
      <c r="G100" s="21"/>
      <c r="H100" s="21"/>
      <c r="I100" s="22"/>
    </row>
    <row r="101" spans="1:9">
      <c r="A101">
        <v>340000</v>
      </c>
      <c r="B101" t="s">
        <v>382</v>
      </c>
      <c r="C101" t="s">
        <v>156</v>
      </c>
      <c r="D101" t="s">
        <v>157</v>
      </c>
      <c r="E101">
        <v>0</v>
      </c>
      <c r="F101" s="15">
        <f t="shared" si="1"/>
        <v>0</v>
      </c>
      <c r="G101" s="21"/>
      <c r="H101" s="21"/>
      <c r="I101" s="22"/>
    </row>
    <row r="102" spans="1:9">
      <c r="A102">
        <v>340010</v>
      </c>
      <c r="B102" t="s">
        <v>384</v>
      </c>
      <c r="C102" t="s">
        <v>156</v>
      </c>
      <c r="D102" t="s">
        <v>162</v>
      </c>
      <c r="E102" s="1">
        <v>-89274.49</v>
      </c>
      <c r="F102" s="15">
        <f t="shared" si="1"/>
        <v>-89274</v>
      </c>
      <c r="G102" s="21"/>
      <c r="H102" s="21"/>
      <c r="I102" s="22"/>
    </row>
    <row r="103" spans="1:9">
      <c r="A103">
        <v>340020</v>
      </c>
      <c r="B103" t="s">
        <v>386</v>
      </c>
      <c r="C103" t="s">
        <v>156</v>
      </c>
      <c r="D103" t="s">
        <v>162</v>
      </c>
      <c r="E103" s="1">
        <v>100458.7</v>
      </c>
      <c r="F103" s="15">
        <f t="shared" si="1"/>
        <v>100459</v>
      </c>
      <c r="G103" s="21"/>
      <c r="H103" s="21"/>
      <c r="I103" s="22"/>
    </row>
    <row r="104" spans="1:9">
      <c r="A104">
        <v>340030</v>
      </c>
      <c r="B104" t="s">
        <v>2234</v>
      </c>
      <c r="C104" t="s">
        <v>156</v>
      </c>
      <c r="D104" t="s">
        <v>162</v>
      </c>
      <c r="E104">
        <v>0</v>
      </c>
      <c r="F104" s="15">
        <f t="shared" si="1"/>
        <v>0</v>
      </c>
      <c r="G104" s="21"/>
      <c r="H104" s="21"/>
      <c r="I104" s="22"/>
    </row>
    <row r="105" spans="1:9">
      <c r="A105">
        <v>340040</v>
      </c>
      <c r="B105" t="s">
        <v>390</v>
      </c>
      <c r="C105" t="s">
        <v>156</v>
      </c>
      <c r="D105" t="s">
        <v>162</v>
      </c>
      <c r="E105" s="1">
        <v>21837.8</v>
      </c>
      <c r="F105" s="15">
        <f t="shared" si="1"/>
        <v>21838</v>
      </c>
      <c r="G105" s="21"/>
      <c r="H105" s="21"/>
      <c r="I105" s="22"/>
    </row>
    <row r="106" spans="1:9">
      <c r="A106">
        <v>340050</v>
      </c>
      <c r="B106" t="s">
        <v>2299</v>
      </c>
      <c r="C106" t="s">
        <v>156</v>
      </c>
      <c r="D106" t="s">
        <v>162</v>
      </c>
      <c r="E106" s="1">
        <v>2567.75</v>
      </c>
      <c r="F106" s="15">
        <f t="shared" si="1"/>
        <v>2568</v>
      </c>
      <c r="G106" s="21"/>
      <c r="H106" s="21"/>
      <c r="I106" s="22"/>
    </row>
    <row r="107" spans="1:9">
      <c r="A107">
        <v>340060</v>
      </c>
      <c r="B107" t="s">
        <v>394</v>
      </c>
      <c r="C107" t="s">
        <v>156</v>
      </c>
      <c r="D107" t="s">
        <v>162</v>
      </c>
      <c r="E107" s="1">
        <v>1151.5999999999999</v>
      </c>
      <c r="F107" s="15">
        <f t="shared" si="1"/>
        <v>1152</v>
      </c>
      <c r="G107" s="21"/>
      <c r="H107" s="21"/>
      <c r="I107" s="22"/>
    </row>
    <row r="108" spans="1:9">
      <c r="A108">
        <v>340070</v>
      </c>
      <c r="B108" t="s">
        <v>2336</v>
      </c>
      <c r="C108" t="s">
        <v>156</v>
      </c>
      <c r="D108" t="s">
        <v>162</v>
      </c>
      <c r="E108" s="1">
        <v>2076.6</v>
      </c>
      <c r="F108" s="15">
        <f t="shared" si="1"/>
        <v>2077</v>
      </c>
      <c r="G108" s="21"/>
      <c r="H108" s="21"/>
      <c r="I108" s="22"/>
    </row>
    <row r="109" spans="1:9">
      <c r="A109">
        <v>340080</v>
      </c>
      <c r="B109" t="s">
        <v>398</v>
      </c>
      <c r="C109" t="s">
        <v>156</v>
      </c>
      <c r="D109" t="s">
        <v>162</v>
      </c>
      <c r="E109" s="1">
        <v>19791.919999999998</v>
      </c>
      <c r="F109" s="15">
        <f t="shared" si="1"/>
        <v>19792</v>
      </c>
      <c r="G109" s="21"/>
      <c r="H109" s="21"/>
      <c r="I109" s="22"/>
    </row>
    <row r="110" spans="1:9">
      <c r="A110">
        <v>340090</v>
      </c>
      <c r="B110" t="s">
        <v>400</v>
      </c>
      <c r="C110" t="s">
        <v>156</v>
      </c>
      <c r="D110" t="s">
        <v>162</v>
      </c>
      <c r="E110" s="1">
        <v>74150.95</v>
      </c>
      <c r="F110" s="15">
        <f t="shared" si="1"/>
        <v>74151</v>
      </c>
      <c r="G110" s="21"/>
      <c r="H110" s="21"/>
      <c r="I110" s="22"/>
    </row>
    <row r="111" spans="1:9">
      <c r="A111">
        <v>340110</v>
      </c>
      <c r="B111" t="s">
        <v>402</v>
      </c>
      <c r="C111" t="s">
        <v>156</v>
      </c>
      <c r="D111" t="s">
        <v>162</v>
      </c>
      <c r="E111" s="1">
        <v>23287.78</v>
      </c>
      <c r="F111" s="15">
        <f t="shared" si="1"/>
        <v>23288</v>
      </c>
      <c r="G111" s="21"/>
      <c r="H111" s="21"/>
      <c r="I111" s="22"/>
    </row>
    <row r="112" spans="1:9">
      <c r="A112">
        <v>340120</v>
      </c>
      <c r="B112" t="s">
        <v>2337</v>
      </c>
      <c r="C112" t="s">
        <v>156</v>
      </c>
      <c r="D112" t="s">
        <v>162</v>
      </c>
      <c r="E112" s="1">
        <v>4954.57</v>
      </c>
      <c r="F112" s="15">
        <f t="shared" si="1"/>
        <v>4955</v>
      </c>
      <c r="G112" s="21"/>
      <c r="H112" s="21"/>
      <c r="I112" s="22"/>
    </row>
    <row r="113" spans="1:9">
      <c r="A113">
        <v>340130</v>
      </c>
      <c r="B113" t="s">
        <v>2215</v>
      </c>
      <c r="C113" t="s">
        <v>156</v>
      </c>
      <c r="D113" t="s">
        <v>162</v>
      </c>
      <c r="E113">
        <v>210</v>
      </c>
      <c r="F113" s="15">
        <f t="shared" si="1"/>
        <v>210</v>
      </c>
      <c r="G113" s="21"/>
      <c r="H113" s="21"/>
      <c r="I113" s="22"/>
    </row>
    <row r="114" spans="1:9">
      <c r="A114">
        <v>340140</v>
      </c>
      <c r="B114" t="s">
        <v>2216</v>
      </c>
      <c r="C114" t="s">
        <v>156</v>
      </c>
      <c r="D114" t="s">
        <v>162</v>
      </c>
      <c r="E114">
        <v>0</v>
      </c>
      <c r="F114" s="15">
        <f t="shared" si="1"/>
        <v>0</v>
      </c>
      <c r="G114" s="21"/>
      <c r="H114" s="21"/>
      <c r="I114" s="22"/>
    </row>
    <row r="115" spans="1:9">
      <c r="A115">
        <v>341199</v>
      </c>
      <c r="B115" t="s">
        <v>409</v>
      </c>
      <c r="C115" t="s">
        <v>156</v>
      </c>
      <c r="D115" t="s">
        <v>169</v>
      </c>
      <c r="E115" s="1">
        <v>161213.18</v>
      </c>
      <c r="F115" s="15">
        <f t="shared" si="1"/>
        <v>161213</v>
      </c>
      <c r="G115" s="21"/>
      <c r="H115" s="21"/>
      <c r="I115" s="22"/>
    </row>
    <row r="116" spans="1:9">
      <c r="A116">
        <v>350000</v>
      </c>
      <c r="B116" t="s">
        <v>412</v>
      </c>
      <c r="C116" t="s">
        <v>156</v>
      </c>
      <c r="D116" t="s">
        <v>157</v>
      </c>
      <c r="E116">
        <v>0</v>
      </c>
      <c r="F116" s="15">
        <f t="shared" si="1"/>
        <v>0</v>
      </c>
      <c r="G116" s="21"/>
      <c r="H116" s="21"/>
      <c r="I116" s="22"/>
    </row>
    <row r="117" spans="1:9">
      <c r="A117">
        <v>350010</v>
      </c>
      <c r="B117" t="s">
        <v>414</v>
      </c>
      <c r="C117" t="s">
        <v>156</v>
      </c>
      <c r="D117" t="s">
        <v>162</v>
      </c>
      <c r="E117" s="1">
        <v>49000</v>
      </c>
      <c r="F117" s="15">
        <f t="shared" si="1"/>
        <v>49000</v>
      </c>
      <c r="G117" s="21"/>
      <c r="H117" s="21"/>
      <c r="I117" s="22"/>
    </row>
    <row r="118" spans="1:9">
      <c r="A118">
        <v>350099</v>
      </c>
      <c r="B118" t="s">
        <v>416</v>
      </c>
      <c r="C118" t="s">
        <v>156</v>
      </c>
      <c r="D118" t="s">
        <v>169</v>
      </c>
      <c r="E118" s="1">
        <v>49000</v>
      </c>
      <c r="F118" s="15">
        <f t="shared" si="1"/>
        <v>49000</v>
      </c>
      <c r="G118" s="21"/>
      <c r="H118" s="21"/>
      <c r="I118" s="22"/>
    </row>
    <row r="119" spans="1:9">
      <c r="A119">
        <v>360000</v>
      </c>
      <c r="B119" t="s">
        <v>419</v>
      </c>
      <c r="C119" t="s">
        <v>156</v>
      </c>
      <c r="D119" t="s">
        <v>157</v>
      </c>
      <c r="E119">
        <v>0</v>
      </c>
      <c r="F119" s="15">
        <f t="shared" si="1"/>
        <v>0</v>
      </c>
      <c r="G119" s="21"/>
      <c r="H119" s="21"/>
      <c r="I119" s="22"/>
    </row>
    <row r="120" spans="1:9">
      <c r="A120">
        <v>360010</v>
      </c>
      <c r="B120" t="s">
        <v>56</v>
      </c>
      <c r="C120" t="s">
        <v>156</v>
      </c>
      <c r="D120" t="s">
        <v>162</v>
      </c>
      <c r="E120" s="1">
        <v>525859</v>
      </c>
      <c r="F120" s="15">
        <f t="shared" si="1"/>
        <v>525859</v>
      </c>
      <c r="G120" s="21"/>
      <c r="H120" s="21"/>
      <c r="I120" s="22"/>
    </row>
    <row r="121" spans="1:9">
      <c r="A121">
        <v>360099</v>
      </c>
      <c r="B121" t="s">
        <v>422</v>
      </c>
      <c r="C121" t="s">
        <v>156</v>
      </c>
      <c r="D121" t="s">
        <v>169</v>
      </c>
      <c r="E121" s="1">
        <v>525859</v>
      </c>
      <c r="F121" s="15">
        <f t="shared" si="1"/>
        <v>525859</v>
      </c>
      <c r="G121" s="21"/>
      <c r="H121" s="21"/>
      <c r="I121" s="22"/>
    </row>
    <row r="122" spans="1:9">
      <c r="A122">
        <v>381999</v>
      </c>
      <c r="B122" t="s">
        <v>425</v>
      </c>
      <c r="C122" t="s">
        <v>156</v>
      </c>
      <c r="D122" t="s">
        <v>169</v>
      </c>
      <c r="E122" s="1">
        <v>1107497.78</v>
      </c>
      <c r="F122" s="15">
        <f t="shared" si="1"/>
        <v>1107498</v>
      </c>
      <c r="G122" s="21"/>
      <c r="H122" s="21"/>
      <c r="I122" s="22"/>
    </row>
    <row r="123" spans="1:9">
      <c r="A123">
        <v>390000</v>
      </c>
      <c r="B123" t="s">
        <v>428</v>
      </c>
      <c r="C123" t="s">
        <v>156</v>
      </c>
      <c r="D123" t="s">
        <v>157</v>
      </c>
      <c r="E123">
        <v>0</v>
      </c>
      <c r="F123" s="15">
        <f t="shared" si="1"/>
        <v>0</v>
      </c>
      <c r="G123" s="21"/>
      <c r="H123" s="21"/>
      <c r="I123" s="22"/>
    </row>
    <row r="124" spans="1:9">
      <c r="A124">
        <v>390010</v>
      </c>
      <c r="B124" t="s">
        <v>2314</v>
      </c>
      <c r="C124" t="s">
        <v>156</v>
      </c>
      <c r="D124" t="s">
        <v>162</v>
      </c>
      <c r="E124">
        <v>0</v>
      </c>
      <c r="F124" s="15">
        <f t="shared" si="1"/>
        <v>0</v>
      </c>
      <c r="G124" s="21"/>
      <c r="H124" s="21"/>
      <c r="I124" s="22"/>
    </row>
    <row r="125" spans="1:9">
      <c r="A125">
        <v>390020</v>
      </c>
      <c r="B125" t="s">
        <v>440</v>
      </c>
      <c r="C125" t="s">
        <v>156</v>
      </c>
      <c r="D125" t="s">
        <v>162</v>
      </c>
      <c r="E125" s="1">
        <v>-5577.14</v>
      </c>
      <c r="F125" s="15">
        <f t="shared" si="1"/>
        <v>-5577</v>
      </c>
      <c r="G125" s="21"/>
      <c r="H125" s="21"/>
      <c r="I125" s="22"/>
    </row>
    <row r="126" spans="1:9">
      <c r="A126">
        <v>390030</v>
      </c>
      <c r="B126" t="s">
        <v>2160</v>
      </c>
      <c r="C126" t="s">
        <v>156</v>
      </c>
      <c r="D126" t="s">
        <v>162</v>
      </c>
      <c r="E126">
        <v>0</v>
      </c>
      <c r="F126" s="15">
        <f t="shared" si="1"/>
        <v>0</v>
      </c>
      <c r="G126" s="21"/>
      <c r="H126" s="21"/>
      <c r="I126" s="22"/>
    </row>
    <row r="127" spans="1:9">
      <c r="A127">
        <v>390040</v>
      </c>
      <c r="B127" t="s">
        <v>216</v>
      </c>
      <c r="C127" t="s">
        <v>156</v>
      </c>
      <c r="D127" t="s">
        <v>162</v>
      </c>
      <c r="E127" s="1">
        <v>152375</v>
      </c>
      <c r="F127" s="15">
        <f t="shared" si="1"/>
        <v>152375</v>
      </c>
      <c r="G127" s="21"/>
      <c r="H127" s="21"/>
      <c r="I127" s="22"/>
    </row>
    <row r="128" spans="1:9">
      <c r="A128">
        <v>391010</v>
      </c>
      <c r="B128" t="s">
        <v>2274</v>
      </c>
      <c r="C128" t="s">
        <v>156</v>
      </c>
      <c r="D128" t="s">
        <v>162</v>
      </c>
      <c r="E128">
        <v>0</v>
      </c>
      <c r="F128" s="15">
        <f t="shared" si="1"/>
        <v>0</v>
      </c>
      <c r="G128" s="21"/>
      <c r="H128" s="21"/>
      <c r="I128" s="22"/>
    </row>
    <row r="129" spans="1:9">
      <c r="A129">
        <v>391020</v>
      </c>
      <c r="B129" t="s">
        <v>2315</v>
      </c>
      <c r="C129" t="s">
        <v>156</v>
      </c>
      <c r="D129" t="s">
        <v>162</v>
      </c>
      <c r="E129" s="1">
        <v>802852.39</v>
      </c>
      <c r="F129" s="15">
        <f t="shared" si="1"/>
        <v>802852</v>
      </c>
      <c r="G129" s="21"/>
      <c r="H129" s="21"/>
      <c r="I129" s="22"/>
    </row>
    <row r="130" spans="1:9">
      <c r="A130">
        <v>391030</v>
      </c>
      <c r="B130" t="s">
        <v>2316</v>
      </c>
      <c r="C130" t="s">
        <v>156</v>
      </c>
      <c r="D130" t="s">
        <v>162</v>
      </c>
      <c r="E130">
        <v>0</v>
      </c>
      <c r="F130" s="15">
        <f t="shared" si="1"/>
        <v>0</v>
      </c>
      <c r="G130" s="21"/>
      <c r="H130" s="21"/>
      <c r="I130" s="22"/>
    </row>
    <row r="131" spans="1:9">
      <c r="A131">
        <v>391040</v>
      </c>
      <c r="B131" t="s">
        <v>2161</v>
      </c>
      <c r="C131" t="s">
        <v>156</v>
      </c>
      <c r="D131" t="s">
        <v>162</v>
      </c>
      <c r="E131" s="1">
        <v>254829.75</v>
      </c>
      <c r="F131" s="15">
        <f t="shared" si="1"/>
        <v>254830</v>
      </c>
      <c r="G131" s="21">
        <v>24221</v>
      </c>
      <c r="H131" s="21"/>
      <c r="I131" s="22"/>
    </row>
    <row r="132" spans="1:9">
      <c r="A132">
        <v>391050</v>
      </c>
      <c r="B132" t="s">
        <v>2235</v>
      </c>
      <c r="C132" t="s">
        <v>156</v>
      </c>
      <c r="D132" t="s">
        <v>162</v>
      </c>
      <c r="E132">
        <v>0</v>
      </c>
      <c r="F132" s="15">
        <f t="shared" si="1"/>
        <v>0</v>
      </c>
      <c r="G132" s="21"/>
      <c r="H132" s="21"/>
      <c r="I132" s="22"/>
    </row>
    <row r="133" spans="1:9">
      <c r="A133">
        <v>391060</v>
      </c>
      <c r="B133" t="s">
        <v>456</v>
      </c>
      <c r="C133" t="s">
        <v>156</v>
      </c>
      <c r="D133" t="s">
        <v>162</v>
      </c>
      <c r="E133">
        <v>0</v>
      </c>
      <c r="F133" s="15">
        <f t="shared" ref="F133:F196" si="2">ROUND(E133,0)</f>
        <v>0</v>
      </c>
      <c r="G133" s="21"/>
      <c r="H133" s="21"/>
      <c r="I133" s="22"/>
    </row>
    <row r="134" spans="1:9">
      <c r="A134">
        <v>391070</v>
      </c>
      <c r="B134" t="s">
        <v>458</v>
      </c>
      <c r="C134" t="s">
        <v>156</v>
      </c>
      <c r="D134" t="s">
        <v>162</v>
      </c>
      <c r="E134" s="1">
        <v>75190.28</v>
      </c>
      <c r="F134" s="15">
        <f t="shared" si="2"/>
        <v>75190</v>
      </c>
      <c r="G134" s="21"/>
      <c r="H134" s="21"/>
      <c r="I134" s="22"/>
    </row>
    <row r="135" spans="1:9">
      <c r="A135">
        <v>391080</v>
      </c>
      <c r="B135" t="s">
        <v>460</v>
      </c>
      <c r="C135" t="s">
        <v>156</v>
      </c>
      <c r="D135" t="s">
        <v>162</v>
      </c>
      <c r="E135" s="1">
        <v>7093.06</v>
      </c>
      <c r="F135" s="15">
        <f t="shared" si="2"/>
        <v>7093</v>
      </c>
      <c r="G135" s="21"/>
      <c r="H135" s="21"/>
      <c r="I135" s="22"/>
    </row>
    <row r="136" spans="1:9">
      <c r="A136">
        <v>391199</v>
      </c>
      <c r="B136" t="s">
        <v>462</v>
      </c>
      <c r="C136" t="s">
        <v>156</v>
      </c>
      <c r="D136" t="s">
        <v>169</v>
      </c>
      <c r="E136" s="1">
        <v>1286763.3400000001</v>
      </c>
      <c r="F136" s="15">
        <f t="shared" si="2"/>
        <v>1286763</v>
      </c>
      <c r="G136" s="21"/>
      <c r="H136" s="21"/>
      <c r="I136" s="22"/>
    </row>
    <row r="137" spans="1:9">
      <c r="A137">
        <v>400000</v>
      </c>
      <c r="B137" t="s">
        <v>2236</v>
      </c>
      <c r="C137" t="s">
        <v>156</v>
      </c>
      <c r="D137" t="s">
        <v>157</v>
      </c>
      <c r="E137">
        <v>0</v>
      </c>
      <c r="F137" s="15">
        <f t="shared" si="2"/>
        <v>0</v>
      </c>
      <c r="G137" s="21"/>
      <c r="H137" s="21"/>
      <c r="I137" s="22"/>
    </row>
    <row r="138" spans="1:9">
      <c r="A138">
        <v>400001</v>
      </c>
      <c r="B138" t="s">
        <v>2237</v>
      </c>
      <c r="C138" t="s">
        <v>156</v>
      </c>
      <c r="D138" t="s">
        <v>157</v>
      </c>
      <c r="E138">
        <v>0</v>
      </c>
      <c r="F138" s="15">
        <f t="shared" si="2"/>
        <v>0</v>
      </c>
      <c r="G138" s="21"/>
      <c r="H138" s="21"/>
      <c r="I138" s="22"/>
    </row>
    <row r="139" spans="1:9">
      <c r="A139">
        <v>400005</v>
      </c>
      <c r="B139" t="s">
        <v>600</v>
      </c>
      <c r="C139" t="s">
        <v>156</v>
      </c>
      <c r="D139" t="s">
        <v>157</v>
      </c>
      <c r="E139">
        <v>0</v>
      </c>
      <c r="F139" s="15">
        <f t="shared" si="2"/>
        <v>0</v>
      </c>
      <c r="G139" s="21"/>
      <c r="H139" s="21"/>
      <c r="I139" s="22"/>
    </row>
    <row r="140" spans="1:9">
      <c r="A140">
        <v>400010</v>
      </c>
      <c r="B140" t="s">
        <v>602</v>
      </c>
      <c r="C140" t="s">
        <v>156</v>
      </c>
      <c r="D140" t="s">
        <v>162</v>
      </c>
      <c r="E140">
        <v>0</v>
      </c>
      <c r="F140" s="15">
        <f t="shared" si="2"/>
        <v>0</v>
      </c>
      <c r="G140" s="21"/>
      <c r="H140" s="21"/>
      <c r="I140" s="22"/>
    </row>
    <row r="141" spans="1:9">
      <c r="A141">
        <v>400020</v>
      </c>
      <c r="B141" t="s">
        <v>604</v>
      </c>
      <c r="C141" t="s">
        <v>156</v>
      </c>
      <c r="D141" t="s">
        <v>162</v>
      </c>
      <c r="E141" s="1">
        <v>-2282.61</v>
      </c>
      <c r="F141" s="15">
        <f t="shared" si="2"/>
        <v>-2283</v>
      </c>
      <c r="G141" s="21"/>
      <c r="H141" s="21"/>
      <c r="I141" s="22"/>
    </row>
    <row r="142" spans="1:9">
      <c r="A142">
        <v>400030</v>
      </c>
      <c r="B142" t="s">
        <v>606</v>
      </c>
      <c r="C142" t="s">
        <v>156</v>
      </c>
      <c r="D142" t="s">
        <v>162</v>
      </c>
      <c r="E142">
        <v>348.83</v>
      </c>
      <c r="F142" s="15">
        <f t="shared" si="2"/>
        <v>349</v>
      </c>
      <c r="G142" s="21"/>
      <c r="H142" s="21"/>
      <c r="I142" s="22"/>
    </row>
    <row r="143" spans="1:9">
      <c r="A143">
        <v>400040</v>
      </c>
      <c r="B143" t="s">
        <v>608</v>
      </c>
      <c r="C143" t="s">
        <v>156</v>
      </c>
      <c r="D143" t="s">
        <v>162</v>
      </c>
      <c r="E143" s="1">
        <v>19549.36</v>
      </c>
      <c r="F143" s="15">
        <f t="shared" si="2"/>
        <v>19549</v>
      </c>
      <c r="G143" s="21"/>
      <c r="H143" s="21"/>
      <c r="I143" s="22"/>
    </row>
    <row r="144" spans="1:9">
      <c r="A144">
        <v>400050</v>
      </c>
      <c r="B144" t="s">
        <v>610</v>
      </c>
      <c r="C144" t="s">
        <v>156</v>
      </c>
      <c r="D144" t="s">
        <v>162</v>
      </c>
      <c r="E144" s="1">
        <v>11782.56</v>
      </c>
      <c r="F144" s="15">
        <f t="shared" si="2"/>
        <v>11783</v>
      </c>
      <c r="G144" s="21"/>
      <c r="H144" s="21"/>
      <c r="I144" s="22"/>
    </row>
    <row r="145" spans="1:16">
      <c r="A145">
        <v>400060</v>
      </c>
      <c r="B145" t="s">
        <v>612</v>
      </c>
      <c r="C145" t="s">
        <v>156</v>
      </c>
      <c r="D145" t="s">
        <v>162</v>
      </c>
      <c r="E145">
        <v>578</v>
      </c>
      <c r="F145" s="15">
        <f t="shared" si="2"/>
        <v>578</v>
      </c>
      <c r="G145" s="21"/>
      <c r="H145" s="21"/>
      <c r="I145" s="22"/>
    </row>
    <row r="146" spans="1:16">
      <c r="A146">
        <v>400070</v>
      </c>
      <c r="B146" t="s">
        <v>614</v>
      </c>
      <c r="C146" t="s">
        <v>156</v>
      </c>
      <c r="D146" t="s">
        <v>162</v>
      </c>
      <c r="E146" s="1">
        <v>6035.68</v>
      </c>
      <c r="F146" s="15">
        <f t="shared" si="2"/>
        <v>6036</v>
      </c>
      <c r="G146" s="21"/>
      <c r="H146" s="21"/>
      <c r="I146" s="22"/>
    </row>
    <row r="147" spans="1:16">
      <c r="A147">
        <v>400080</v>
      </c>
      <c r="B147" t="s">
        <v>616</v>
      </c>
      <c r="C147" t="s">
        <v>156</v>
      </c>
      <c r="D147" t="s">
        <v>162</v>
      </c>
      <c r="E147">
        <v>0</v>
      </c>
      <c r="F147" s="15">
        <f t="shared" si="2"/>
        <v>0</v>
      </c>
      <c r="G147" s="21"/>
      <c r="H147" s="21"/>
      <c r="I147" s="22"/>
    </row>
    <row r="148" spans="1:16">
      <c r="A148">
        <v>400198</v>
      </c>
      <c r="B148" t="s">
        <v>618</v>
      </c>
      <c r="C148" t="s">
        <v>156</v>
      </c>
      <c r="D148" t="s">
        <v>169</v>
      </c>
      <c r="E148" s="1">
        <v>36011.82</v>
      </c>
      <c r="F148" s="15">
        <f t="shared" si="2"/>
        <v>36012</v>
      </c>
      <c r="G148" s="21"/>
      <c r="H148" s="21"/>
      <c r="I148" s="22"/>
      <c r="K148" t="s">
        <v>432</v>
      </c>
      <c r="L148" t="s">
        <v>148</v>
      </c>
      <c r="M148" t="s">
        <v>433</v>
      </c>
      <c r="N148" t="s">
        <v>475</v>
      </c>
      <c r="O148" t="s">
        <v>476</v>
      </c>
      <c r="P148" t="s">
        <v>477</v>
      </c>
    </row>
    <row r="149" spans="1:16">
      <c r="A149">
        <v>440000</v>
      </c>
      <c r="B149" t="s">
        <v>469</v>
      </c>
      <c r="C149" t="s">
        <v>156</v>
      </c>
      <c r="D149" t="s">
        <v>157</v>
      </c>
      <c r="E149">
        <v>0</v>
      </c>
      <c r="F149" s="15">
        <f t="shared" si="2"/>
        <v>0</v>
      </c>
      <c r="G149" s="21"/>
      <c r="H149" s="21"/>
      <c r="I149" s="22"/>
      <c r="K149">
        <v>440000</v>
      </c>
      <c r="L149" t="s">
        <v>469</v>
      </c>
    </row>
    <row r="150" spans="1:16">
      <c r="A150">
        <v>440100</v>
      </c>
      <c r="B150" t="s">
        <v>155</v>
      </c>
      <c r="C150" t="s">
        <v>156</v>
      </c>
      <c r="D150" t="s">
        <v>157</v>
      </c>
      <c r="E150">
        <v>0</v>
      </c>
      <c r="F150" s="15">
        <f t="shared" si="2"/>
        <v>0</v>
      </c>
      <c r="G150" s="21"/>
      <c r="H150" s="21"/>
      <c r="I150" s="22"/>
      <c r="K150">
        <v>440100</v>
      </c>
      <c r="L150" t="s">
        <v>155</v>
      </c>
    </row>
    <row r="151" spans="1:16">
      <c r="A151">
        <v>440110</v>
      </c>
      <c r="B151" t="s">
        <v>472</v>
      </c>
      <c r="C151" t="s">
        <v>156</v>
      </c>
      <c r="D151" t="s">
        <v>162</v>
      </c>
      <c r="E151" s="1">
        <v>-3532956.03</v>
      </c>
      <c r="F151" s="15">
        <f t="shared" si="2"/>
        <v>-3532956</v>
      </c>
      <c r="G151" s="21"/>
      <c r="H151" s="21"/>
      <c r="I151" s="22"/>
      <c r="K151">
        <v>440110</v>
      </c>
      <c r="L151" t="s">
        <v>472</v>
      </c>
      <c r="M151" s="1">
        <v>-3532956.03</v>
      </c>
      <c r="N151" s="1">
        <v>-896926.5</v>
      </c>
      <c r="O151" s="1">
        <v>-2221642.5299999998</v>
      </c>
      <c r="P151" s="1">
        <v>-414387</v>
      </c>
    </row>
    <row r="152" spans="1:16">
      <c r="A152">
        <v>440120</v>
      </c>
      <c r="B152" t="s">
        <v>474</v>
      </c>
      <c r="C152" t="s">
        <v>156</v>
      </c>
      <c r="D152" t="s">
        <v>162</v>
      </c>
      <c r="E152" s="1">
        <v>-2472935</v>
      </c>
      <c r="F152" s="15">
        <f t="shared" si="2"/>
        <v>-2472935</v>
      </c>
      <c r="G152" s="21"/>
      <c r="H152" s="21"/>
      <c r="I152" s="22"/>
      <c r="K152">
        <v>440120</v>
      </c>
      <c r="L152" t="s">
        <v>474</v>
      </c>
      <c r="M152" s="1">
        <v>-2472935</v>
      </c>
      <c r="N152" s="1">
        <v>-163830</v>
      </c>
      <c r="O152" s="1">
        <v>-2150597</v>
      </c>
      <c r="P152" s="1">
        <v>-158508</v>
      </c>
    </row>
    <row r="153" spans="1:16">
      <c r="A153">
        <v>440130</v>
      </c>
      <c r="B153" t="s">
        <v>2338</v>
      </c>
      <c r="C153" t="s">
        <v>156</v>
      </c>
      <c r="D153" t="s">
        <v>162</v>
      </c>
      <c r="E153">
        <v>0</v>
      </c>
      <c r="F153" s="15">
        <f t="shared" si="2"/>
        <v>0</v>
      </c>
      <c r="G153" s="21"/>
      <c r="H153" s="21"/>
      <c r="I153" s="22"/>
      <c r="K153">
        <v>440130</v>
      </c>
      <c r="L153" t="s">
        <v>2338</v>
      </c>
    </row>
    <row r="154" spans="1:16">
      <c r="A154">
        <v>440140</v>
      </c>
      <c r="B154" t="s">
        <v>481</v>
      </c>
      <c r="C154" t="s">
        <v>156</v>
      </c>
      <c r="D154" t="s">
        <v>162</v>
      </c>
      <c r="E154" s="1">
        <v>-378420.03</v>
      </c>
      <c r="F154" s="15">
        <f t="shared" si="2"/>
        <v>-378420</v>
      </c>
      <c r="G154" s="21"/>
      <c r="H154" s="21"/>
      <c r="I154" s="22"/>
      <c r="K154">
        <v>440140</v>
      </c>
      <c r="L154" t="s">
        <v>481</v>
      </c>
      <c r="M154" s="1">
        <v>-378420.03</v>
      </c>
      <c r="N154" s="1">
        <v>-47055.75</v>
      </c>
      <c r="O154" s="1">
        <v>-274421.21999999997</v>
      </c>
      <c r="P154" s="1">
        <v>-56943.06</v>
      </c>
    </row>
    <row r="155" spans="1:16">
      <c r="A155">
        <v>440199</v>
      </c>
      <c r="B155" t="s">
        <v>278</v>
      </c>
      <c r="C155" t="s">
        <v>156</v>
      </c>
      <c r="D155" t="s">
        <v>169</v>
      </c>
      <c r="E155" s="1">
        <v>-6384311.0599999996</v>
      </c>
      <c r="F155" s="15">
        <f t="shared" si="2"/>
        <v>-6384311</v>
      </c>
      <c r="G155" s="21"/>
      <c r="H155" s="21"/>
      <c r="I155" s="22"/>
      <c r="K155">
        <v>440199</v>
      </c>
      <c r="L155" t="s">
        <v>278</v>
      </c>
      <c r="M155" s="1">
        <v>-6384311.0599999996</v>
      </c>
      <c r="N155" s="1">
        <v>-1107812.25</v>
      </c>
      <c r="O155" s="1">
        <v>-4646660.75</v>
      </c>
      <c r="P155" s="1">
        <v>-629838.06000000006</v>
      </c>
    </row>
    <row r="156" spans="1:16">
      <c r="A156">
        <v>441000</v>
      </c>
      <c r="B156" t="s">
        <v>485</v>
      </c>
      <c r="C156" t="s">
        <v>156</v>
      </c>
      <c r="D156" t="s">
        <v>157</v>
      </c>
      <c r="E156">
        <v>0</v>
      </c>
      <c r="F156" s="15">
        <f t="shared" si="2"/>
        <v>0</v>
      </c>
      <c r="G156" s="21"/>
      <c r="H156" s="21"/>
      <c r="I156" s="22"/>
      <c r="K156">
        <v>441000</v>
      </c>
      <c r="L156" t="s">
        <v>485</v>
      </c>
    </row>
    <row r="157" spans="1:16">
      <c r="A157">
        <v>441010</v>
      </c>
      <c r="B157" t="s">
        <v>487</v>
      </c>
      <c r="C157" t="s">
        <v>156</v>
      </c>
      <c r="D157" t="s">
        <v>162</v>
      </c>
      <c r="E157" s="1">
        <v>442326.54</v>
      </c>
      <c r="F157" s="15">
        <f t="shared" si="2"/>
        <v>442327</v>
      </c>
      <c r="G157" s="21"/>
      <c r="H157" s="21"/>
      <c r="I157" s="22"/>
      <c r="K157">
        <v>441010</v>
      </c>
      <c r="L157" t="s">
        <v>487</v>
      </c>
      <c r="M157" s="1">
        <v>442326.54</v>
      </c>
      <c r="N157" s="1">
        <v>185776.92</v>
      </c>
      <c r="O157" s="17">
        <v>256549.62</v>
      </c>
    </row>
    <row r="158" spans="1:16">
      <c r="A158">
        <v>441020</v>
      </c>
      <c r="B158" t="s">
        <v>489</v>
      </c>
      <c r="C158" t="s">
        <v>156</v>
      </c>
      <c r="D158" t="s">
        <v>162</v>
      </c>
      <c r="E158" s="1">
        <v>253900.13</v>
      </c>
      <c r="F158" s="15">
        <f t="shared" si="2"/>
        <v>253900</v>
      </c>
      <c r="G158" s="21"/>
      <c r="H158" s="21"/>
      <c r="I158" s="22"/>
      <c r="K158">
        <v>441020</v>
      </c>
      <c r="L158" t="s">
        <v>489</v>
      </c>
      <c r="M158" s="1">
        <v>253900.13</v>
      </c>
      <c r="N158" s="1">
        <v>199676.3</v>
      </c>
      <c r="O158" s="17">
        <v>27836.66</v>
      </c>
      <c r="P158" s="1">
        <v>26387.17</v>
      </c>
    </row>
    <row r="159" spans="1:16">
      <c r="A159">
        <v>441030</v>
      </c>
      <c r="B159" t="s">
        <v>2218</v>
      </c>
      <c r="C159" t="s">
        <v>156</v>
      </c>
      <c r="D159" t="s">
        <v>162</v>
      </c>
      <c r="E159" s="1">
        <v>7087.5</v>
      </c>
      <c r="F159" s="15">
        <f t="shared" si="2"/>
        <v>7088</v>
      </c>
      <c r="G159" s="21"/>
      <c r="H159" s="21"/>
      <c r="I159" s="22"/>
      <c r="K159">
        <v>441030</v>
      </c>
      <c r="L159" t="s">
        <v>2218</v>
      </c>
      <c r="M159" s="1">
        <v>7087.5</v>
      </c>
      <c r="O159" s="1">
        <v>7087.5</v>
      </c>
    </row>
    <row r="160" spans="1:16">
      <c r="A160">
        <v>441040</v>
      </c>
      <c r="B160" t="s">
        <v>493</v>
      </c>
      <c r="C160" t="s">
        <v>156</v>
      </c>
      <c r="D160" t="s">
        <v>162</v>
      </c>
      <c r="E160" s="1">
        <v>43901.42</v>
      </c>
      <c r="F160" s="15">
        <f t="shared" si="2"/>
        <v>43901</v>
      </c>
      <c r="G160" s="21"/>
      <c r="H160" s="21"/>
      <c r="I160" s="22"/>
      <c r="K160">
        <v>441040</v>
      </c>
      <c r="L160" t="s">
        <v>493</v>
      </c>
      <c r="M160" s="1">
        <v>43901.42</v>
      </c>
      <c r="N160" s="1">
        <v>5988.42</v>
      </c>
      <c r="O160" s="17">
        <v>37913</v>
      </c>
    </row>
    <row r="161" spans="1:16">
      <c r="A161">
        <v>441050</v>
      </c>
      <c r="B161" t="s">
        <v>495</v>
      </c>
      <c r="C161" t="s">
        <v>156</v>
      </c>
      <c r="D161" t="s">
        <v>162</v>
      </c>
      <c r="E161" s="1">
        <v>121289.11</v>
      </c>
      <c r="F161" s="15">
        <f t="shared" si="2"/>
        <v>121289</v>
      </c>
      <c r="G161" s="21" t="s">
        <v>2303</v>
      </c>
      <c r="H161" s="21" t="s">
        <v>2059</v>
      </c>
      <c r="I161" s="22"/>
      <c r="K161">
        <v>441050</v>
      </c>
      <c r="L161" t="s">
        <v>495</v>
      </c>
      <c r="M161" s="1">
        <v>121289.11</v>
      </c>
      <c r="N161" s="1">
        <v>24658</v>
      </c>
      <c r="O161" s="17">
        <v>89579.87</v>
      </c>
      <c r="P161" s="1">
        <v>7051.24</v>
      </c>
    </row>
    <row r="162" spans="1:16">
      <c r="A162">
        <v>441060</v>
      </c>
      <c r="B162" t="s">
        <v>497</v>
      </c>
      <c r="C162" t="s">
        <v>156</v>
      </c>
      <c r="D162" t="s">
        <v>162</v>
      </c>
      <c r="E162" s="1">
        <v>1436089.35</v>
      </c>
      <c r="F162" s="15">
        <f t="shared" si="2"/>
        <v>1436089</v>
      </c>
      <c r="G162" s="21">
        <v>-43020</v>
      </c>
      <c r="H162" s="21">
        <v>9947.7800000000007</v>
      </c>
      <c r="I162" s="22"/>
      <c r="K162">
        <v>441060</v>
      </c>
      <c r="L162" t="s">
        <v>497</v>
      </c>
      <c r="M162" s="1">
        <v>1436089.35</v>
      </c>
      <c r="N162" s="1">
        <f>492216.64</f>
        <v>492216.64</v>
      </c>
      <c r="O162" s="17">
        <v>763411.65</v>
      </c>
      <c r="P162" s="1">
        <v>180461.06</v>
      </c>
    </row>
    <row r="163" spans="1:16">
      <c r="A163">
        <v>441070</v>
      </c>
      <c r="B163" t="s">
        <v>499</v>
      </c>
      <c r="C163" t="s">
        <v>156</v>
      </c>
      <c r="D163" t="s">
        <v>162</v>
      </c>
      <c r="E163" s="1">
        <v>-11411.27</v>
      </c>
      <c r="F163" s="15">
        <f t="shared" si="2"/>
        <v>-11411</v>
      </c>
      <c r="G163" s="21"/>
      <c r="H163" s="21"/>
      <c r="I163" s="22"/>
      <c r="K163">
        <v>441070</v>
      </c>
      <c r="L163" t="s">
        <v>499</v>
      </c>
      <c r="M163" s="1">
        <v>-11411.27</v>
      </c>
      <c r="O163" s="17">
        <v>-10234.4</v>
      </c>
      <c r="P163" s="1">
        <v>-1176.8699999999999</v>
      </c>
    </row>
    <row r="164" spans="1:16">
      <c r="A164">
        <v>441080</v>
      </c>
      <c r="B164" t="s">
        <v>501</v>
      </c>
      <c r="C164" t="s">
        <v>156</v>
      </c>
      <c r="D164" t="s">
        <v>162</v>
      </c>
      <c r="E164" s="1">
        <v>145151.48000000001</v>
      </c>
      <c r="F164" s="15">
        <f t="shared" si="2"/>
        <v>145151</v>
      </c>
      <c r="G164" s="21"/>
      <c r="H164" s="21"/>
      <c r="I164" s="22"/>
      <c r="K164">
        <v>441080</v>
      </c>
      <c r="L164" t="s">
        <v>501</v>
      </c>
      <c r="M164" s="1">
        <v>145151.48000000001</v>
      </c>
      <c r="O164" s="17">
        <v>145151.48000000001</v>
      </c>
    </row>
    <row r="165" spans="1:16">
      <c r="A165">
        <v>441199</v>
      </c>
      <c r="B165" t="s">
        <v>503</v>
      </c>
      <c r="C165" t="s">
        <v>156</v>
      </c>
      <c r="D165" t="s">
        <v>169</v>
      </c>
      <c r="E165" s="1">
        <v>2438334.2599999998</v>
      </c>
      <c r="F165" s="15">
        <f t="shared" si="2"/>
        <v>2438334</v>
      </c>
      <c r="G165" s="21"/>
      <c r="H165" s="21"/>
      <c r="I165" s="22"/>
      <c r="K165">
        <v>441199</v>
      </c>
      <c r="L165" t="s">
        <v>503</v>
      </c>
      <c r="M165" s="1">
        <v>2438334.2599999998</v>
      </c>
      <c r="N165" s="1">
        <v>908316.28</v>
      </c>
      <c r="O165" s="1">
        <v>1317295.3799999999</v>
      </c>
      <c r="P165" s="1">
        <v>212722.6</v>
      </c>
    </row>
    <row r="166" spans="1:16">
      <c r="A166">
        <v>441200</v>
      </c>
      <c r="B166" t="s">
        <v>284</v>
      </c>
      <c r="C166" t="s">
        <v>156</v>
      </c>
      <c r="D166" t="s">
        <v>157</v>
      </c>
      <c r="E166">
        <v>0</v>
      </c>
      <c r="F166" s="15">
        <f t="shared" si="2"/>
        <v>0</v>
      </c>
      <c r="G166" s="21"/>
      <c r="H166" s="21"/>
      <c r="I166" s="22"/>
      <c r="K166">
        <v>441200</v>
      </c>
      <c r="L166" t="s">
        <v>284</v>
      </c>
    </row>
    <row r="167" spans="1:16">
      <c r="A167">
        <v>441210</v>
      </c>
      <c r="B167" t="s">
        <v>507</v>
      </c>
      <c r="C167" t="s">
        <v>156</v>
      </c>
      <c r="D167" t="s">
        <v>162</v>
      </c>
      <c r="E167" s="1">
        <v>2569319.73</v>
      </c>
      <c r="F167" s="15">
        <f t="shared" si="2"/>
        <v>2569320</v>
      </c>
      <c r="G167" s="21"/>
      <c r="H167" s="21"/>
      <c r="I167" s="22">
        <v>-45000</v>
      </c>
      <c r="J167" t="s">
        <v>2251</v>
      </c>
      <c r="K167">
        <v>441210</v>
      </c>
      <c r="L167" t="s">
        <v>507</v>
      </c>
      <c r="M167" s="1">
        <v>2569319.73</v>
      </c>
      <c r="N167" s="1">
        <v>368333.86</v>
      </c>
      <c r="O167" s="17">
        <v>2000711.4</v>
      </c>
      <c r="P167" s="1">
        <v>200274.47</v>
      </c>
    </row>
    <row r="168" spans="1:16">
      <c r="A168">
        <v>441220</v>
      </c>
      <c r="B168" t="s">
        <v>317</v>
      </c>
      <c r="C168" t="s">
        <v>156</v>
      </c>
      <c r="D168" t="s">
        <v>162</v>
      </c>
      <c r="E168" s="1">
        <v>46402.2</v>
      </c>
      <c r="F168" s="15">
        <f t="shared" si="2"/>
        <v>46402</v>
      </c>
      <c r="G168" s="21"/>
      <c r="H168" s="21"/>
      <c r="I168" s="22"/>
      <c r="K168">
        <v>441220</v>
      </c>
      <c r="L168" t="s">
        <v>317</v>
      </c>
      <c r="M168" s="1">
        <v>46402.2</v>
      </c>
      <c r="N168" s="1">
        <v>21201.59</v>
      </c>
      <c r="O168" s="17">
        <v>25200.61</v>
      </c>
    </row>
    <row r="169" spans="1:16">
      <c r="A169">
        <v>441230</v>
      </c>
      <c r="B169" t="s">
        <v>294</v>
      </c>
      <c r="C169" t="s">
        <v>156</v>
      </c>
      <c r="D169" t="s">
        <v>162</v>
      </c>
      <c r="E169" s="1">
        <v>-295135.95</v>
      </c>
      <c r="F169" s="15">
        <f t="shared" si="2"/>
        <v>-295136</v>
      </c>
      <c r="G169" s="21"/>
      <c r="H169" s="21"/>
      <c r="I169" s="22">
        <v>24000</v>
      </c>
      <c r="K169">
        <v>441230</v>
      </c>
      <c r="L169" t="s">
        <v>294</v>
      </c>
      <c r="M169" s="1">
        <v>-295135.95</v>
      </c>
      <c r="O169" s="17">
        <v>-295135.95</v>
      </c>
    </row>
    <row r="170" spans="1:16">
      <c r="A170">
        <v>441240</v>
      </c>
      <c r="B170" t="s">
        <v>511</v>
      </c>
      <c r="C170" t="s">
        <v>156</v>
      </c>
      <c r="D170" t="s">
        <v>162</v>
      </c>
      <c r="E170" s="1">
        <v>82971.89</v>
      </c>
      <c r="F170" s="15">
        <f t="shared" si="2"/>
        <v>82972</v>
      </c>
      <c r="G170" s="21"/>
      <c r="H170" s="21"/>
      <c r="I170" s="22"/>
      <c r="K170">
        <v>441240</v>
      </c>
      <c r="L170" t="s">
        <v>511</v>
      </c>
      <c r="M170" s="1">
        <v>82971.89</v>
      </c>
      <c r="N170" s="1">
        <v>9982.85</v>
      </c>
      <c r="O170" s="17">
        <v>68816.03</v>
      </c>
      <c r="P170" s="1">
        <v>4173.01</v>
      </c>
    </row>
    <row r="171" spans="1:16">
      <c r="A171">
        <v>441250</v>
      </c>
      <c r="B171" t="s">
        <v>513</v>
      </c>
      <c r="C171" t="s">
        <v>156</v>
      </c>
      <c r="D171" t="s">
        <v>162</v>
      </c>
      <c r="E171" s="1">
        <v>217569.72</v>
      </c>
      <c r="F171" s="15">
        <f t="shared" si="2"/>
        <v>217570</v>
      </c>
      <c r="G171" s="21"/>
      <c r="H171" s="21"/>
      <c r="I171" s="22"/>
      <c r="K171">
        <v>441250</v>
      </c>
      <c r="L171" t="s">
        <v>513</v>
      </c>
      <c r="M171" s="1">
        <v>217569.72</v>
      </c>
      <c r="N171" s="1">
        <v>29948.44</v>
      </c>
      <c r="O171" s="17">
        <v>175102.24</v>
      </c>
      <c r="P171" s="1">
        <v>12519.04</v>
      </c>
    </row>
    <row r="172" spans="1:16">
      <c r="A172">
        <v>441260</v>
      </c>
      <c r="B172" t="s">
        <v>515</v>
      </c>
      <c r="C172" t="s">
        <v>156</v>
      </c>
      <c r="D172" t="s">
        <v>162</v>
      </c>
      <c r="E172" s="1">
        <v>56000</v>
      </c>
      <c r="F172" s="15">
        <f t="shared" si="2"/>
        <v>56000</v>
      </c>
      <c r="G172" s="21"/>
      <c r="H172" s="21"/>
      <c r="I172" s="22"/>
      <c r="K172">
        <v>441260</v>
      </c>
      <c r="L172" t="s">
        <v>515</v>
      </c>
      <c r="M172" s="1">
        <v>56000</v>
      </c>
      <c r="O172" s="17">
        <v>56000</v>
      </c>
    </row>
    <row r="173" spans="1:16">
      <c r="A173">
        <v>441270</v>
      </c>
      <c r="B173" t="s">
        <v>300</v>
      </c>
      <c r="C173" t="s">
        <v>156</v>
      </c>
      <c r="D173" t="s">
        <v>162</v>
      </c>
      <c r="E173">
        <v>0</v>
      </c>
      <c r="F173" s="15">
        <f t="shared" si="2"/>
        <v>0</v>
      </c>
      <c r="G173" s="21"/>
      <c r="H173" s="21"/>
      <c r="I173" s="22"/>
      <c r="K173">
        <v>441270</v>
      </c>
      <c r="L173" t="s">
        <v>300</v>
      </c>
      <c r="O173" s="14"/>
    </row>
    <row r="174" spans="1:16">
      <c r="A174">
        <v>441280</v>
      </c>
      <c r="B174" t="s">
        <v>306</v>
      </c>
      <c r="C174" t="s">
        <v>156</v>
      </c>
      <c r="D174" t="s">
        <v>162</v>
      </c>
      <c r="E174" s="1">
        <v>59824.98</v>
      </c>
      <c r="F174" s="15">
        <f t="shared" si="2"/>
        <v>59825</v>
      </c>
      <c r="G174" s="21"/>
      <c r="H174" s="21"/>
      <c r="I174" s="22"/>
      <c r="K174">
        <v>441280</v>
      </c>
      <c r="L174" t="s">
        <v>306</v>
      </c>
      <c r="M174" s="1">
        <v>59824.98</v>
      </c>
      <c r="N174" s="1">
        <v>22342.05</v>
      </c>
      <c r="O174" s="17">
        <v>32436.98</v>
      </c>
      <c r="P174" s="1">
        <v>5045.95</v>
      </c>
    </row>
    <row r="175" spans="1:16">
      <c r="A175">
        <v>441290</v>
      </c>
      <c r="B175" t="s">
        <v>519</v>
      </c>
      <c r="C175" t="s">
        <v>156</v>
      </c>
      <c r="D175" t="s">
        <v>162</v>
      </c>
      <c r="E175" s="1">
        <v>64780.98</v>
      </c>
      <c r="F175" s="15">
        <f t="shared" si="2"/>
        <v>64781</v>
      </c>
      <c r="G175" s="21"/>
      <c r="H175" s="21"/>
      <c r="I175" s="22"/>
      <c r="K175">
        <v>441290</v>
      </c>
      <c r="L175" t="s">
        <v>519</v>
      </c>
      <c r="M175" s="1">
        <v>64780.98</v>
      </c>
      <c r="N175" s="1">
        <v>1002.4</v>
      </c>
      <c r="O175" s="17">
        <v>63418.12</v>
      </c>
      <c r="P175">
        <v>360.46</v>
      </c>
    </row>
    <row r="176" spans="1:16">
      <c r="A176">
        <v>441300</v>
      </c>
      <c r="B176" t="s">
        <v>521</v>
      </c>
      <c r="C176" t="s">
        <v>156</v>
      </c>
      <c r="D176" t="s">
        <v>162</v>
      </c>
      <c r="E176" s="1">
        <v>-5218.74</v>
      </c>
      <c r="F176" s="15">
        <f t="shared" si="2"/>
        <v>-5219</v>
      </c>
      <c r="G176" s="21"/>
      <c r="H176" s="21"/>
      <c r="I176" s="22"/>
      <c r="K176">
        <v>441300</v>
      </c>
      <c r="L176" t="s">
        <v>521</v>
      </c>
      <c r="M176" s="1">
        <v>-5218.74</v>
      </c>
      <c r="N176" s="1">
        <v>-2855.26</v>
      </c>
      <c r="O176" s="17">
        <v>-2363.48</v>
      </c>
    </row>
    <row r="177" spans="1:16">
      <c r="A177">
        <v>441310</v>
      </c>
      <c r="B177" t="s">
        <v>216</v>
      </c>
      <c r="C177" t="s">
        <v>156</v>
      </c>
      <c r="D177" t="s">
        <v>162</v>
      </c>
      <c r="E177" s="1">
        <v>16605.3</v>
      </c>
      <c r="F177" s="15">
        <f t="shared" si="2"/>
        <v>16605</v>
      </c>
      <c r="G177" s="21"/>
      <c r="H177" s="21"/>
      <c r="I177" s="22"/>
      <c r="K177">
        <v>441310</v>
      </c>
      <c r="L177" t="s">
        <v>216</v>
      </c>
      <c r="M177" s="1">
        <v>16605.3</v>
      </c>
      <c r="O177" s="17">
        <v>16605.3</v>
      </c>
    </row>
    <row r="178" spans="1:16">
      <c r="A178">
        <v>441399</v>
      </c>
      <c r="B178" t="s">
        <v>341</v>
      </c>
      <c r="C178" t="s">
        <v>156</v>
      </c>
      <c r="D178" t="s">
        <v>169</v>
      </c>
      <c r="E178" s="1">
        <v>2813120.11</v>
      </c>
      <c r="F178" s="15">
        <f t="shared" si="2"/>
        <v>2813120</v>
      </c>
      <c r="G178" s="21"/>
      <c r="H178" s="21"/>
      <c r="I178" s="22"/>
      <c r="K178">
        <v>441399</v>
      </c>
      <c r="L178" t="s">
        <v>341</v>
      </c>
      <c r="M178" s="1">
        <v>2813120.11</v>
      </c>
      <c r="N178" s="1">
        <v>449955.93</v>
      </c>
      <c r="O178" s="17">
        <v>2140791.25</v>
      </c>
      <c r="P178" s="1">
        <v>222372.93</v>
      </c>
    </row>
    <row r="179" spans="1:16">
      <c r="A179">
        <v>441400</v>
      </c>
      <c r="B179" t="s">
        <v>530</v>
      </c>
      <c r="C179" t="s">
        <v>156</v>
      </c>
      <c r="D179" t="s">
        <v>157</v>
      </c>
      <c r="E179">
        <v>0</v>
      </c>
      <c r="F179" s="15">
        <f t="shared" si="2"/>
        <v>0</v>
      </c>
      <c r="G179" s="21"/>
      <c r="H179" s="21"/>
      <c r="I179" s="22"/>
      <c r="K179">
        <v>441400</v>
      </c>
      <c r="L179" t="s">
        <v>530</v>
      </c>
    </row>
    <row r="180" spans="1:16">
      <c r="A180">
        <v>441410</v>
      </c>
      <c r="B180" t="s">
        <v>2317</v>
      </c>
      <c r="C180" t="s">
        <v>156</v>
      </c>
      <c r="D180" t="s">
        <v>162</v>
      </c>
      <c r="E180" s="1">
        <v>29249.68</v>
      </c>
      <c r="F180" s="15">
        <f t="shared" si="2"/>
        <v>29250</v>
      </c>
      <c r="G180" s="21"/>
      <c r="H180" s="21"/>
      <c r="I180" s="22"/>
      <c r="K180">
        <v>441410</v>
      </c>
      <c r="L180" t="s">
        <v>2317</v>
      </c>
      <c r="M180" s="1">
        <v>29249.68</v>
      </c>
      <c r="N180">
        <v>483</v>
      </c>
      <c r="O180" s="17">
        <v>28766.68</v>
      </c>
    </row>
    <row r="181" spans="1:16">
      <c r="A181">
        <v>441420</v>
      </c>
      <c r="B181" t="s">
        <v>536</v>
      </c>
      <c r="C181" t="s">
        <v>156</v>
      </c>
      <c r="D181" t="s">
        <v>162</v>
      </c>
      <c r="E181" s="1">
        <v>46514.080000000002</v>
      </c>
      <c r="F181" s="15">
        <f t="shared" si="2"/>
        <v>46514</v>
      </c>
      <c r="G181" s="21"/>
      <c r="H181" s="21"/>
      <c r="I181" s="22"/>
      <c r="K181">
        <v>441420</v>
      </c>
      <c r="L181" t="s">
        <v>536</v>
      </c>
      <c r="M181" s="1">
        <v>46514.080000000002</v>
      </c>
      <c r="O181" s="17">
        <v>46514.080000000002</v>
      </c>
    </row>
    <row r="182" spans="1:16">
      <c r="A182">
        <v>441430</v>
      </c>
      <c r="B182" t="s">
        <v>538</v>
      </c>
      <c r="C182" t="s">
        <v>156</v>
      </c>
      <c r="D182" t="s">
        <v>162</v>
      </c>
      <c r="E182" s="1">
        <v>96702.67</v>
      </c>
      <c r="F182" s="15">
        <f t="shared" si="2"/>
        <v>96703</v>
      </c>
      <c r="G182" s="21"/>
      <c r="H182" s="21"/>
      <c r="I182" s="22">
        <v>22272</v>
      </c>
      <c r="K182">
        <v>441430</v>
      </c>
      <c r="L182" t="s">
        <v>538</v>
      </c>
      <c r="M182" s="1">
        <v>96702.67</v>
      </c>
      <c r="N182" s="1">
        <v>9999.07</v>
      </c>
      <c r="O182" s="17">
        <v>76984.05</v>
      </c>
      <c r="P182" s="1">
        <v>9719.5499999999993</v>
      </c>
    </row>
    <row r="183" spans="1:16">
      <c r="A183">
        <v>441440</v>
      </c>
      <c r="B183" t="s">
        <v>540</v>
      </c>
      <c r="C183" t="s">
        <v>156</v>
      </c>
      <c r="D183" t="s">
        <v>162</v>
      </c>
      <c r="E183" s="1">
        <v>347041.71</v>
      </c>
      <c r="F183" s="15">
        <f t="shared" si="2"/>
        <v>347042</v>
      </c>
      <c r="G183" s="21"/>
      <c r="H183" s="21"/>
      <c r="I183" s="22"/>
      <c r="K183">
        <v>441440</v>
      </c>
      <c r="L183" t="s">
        <v>540</v>
      </c>
      <c r="M183" s="1">
        <v>347041.71</v>
      </c>
      <c r="N183" s="1">
        <v>156078.20000000001</v>
      </c>
      <c r="O183" s="17">
        <v>159434.68</v>
      </c>
      <c r="P183" s="1">
        <v>31528.83</v>
      </c>
    </row>
    <row r="184" spans="1:16">
      <c r="A184">
        <v>441450</v>
      </c>
      <c r="B184" t="s">
        <v>542</v>
      </c>
      <c r="C184" t="s">
        <v>156</v>
      </c>
      <c r="D184" t="s">
        <v>162</v>
      </c>
      <c r="E184" s="1">
        <v>104486.71</v>
      </c>
      <c r="F184" s="15">
        <f t="shared" si="2"/>
        <v>104487</v>
      </c>
      <c r="G184" s="21"/>
      <c r="H184" s="21"/>
      <c r="I184" s="22"/>
      <c r="K184">
        <v>441450</v>
      </c>
      <c r="L184" t="s">
        <v>542</v>
      </c>
      <c r="M184" s="1">
        <v>104486.71</v>
      </c>
      <c r="N184" s="1">
        <v>49889.15</v>
      </c>
      <c r="O184" s="17">
        <v>52864.22</v>
      </c>
      <c r="P184" s="1">
        <v>1733.34</v>
      </c>
    </row>
    <row r="185" spans="1:16">
      <c r="A185">
        <v>441460</v>
      </c>
      <c r="B185" t="s">
        <v>220</v>
      </c>
      <c r="C185" t="s">
        <v>156</v>
      </c>
      <c r="D185" t="s">
        <v>162</v>
      </c>
      <c r="E185" s="1">
        <v>51970.97</v>
      </c>
      <c r="F185" s="15">
        <f t="shared" si="2"/>
        <v>51971</v>
      </c>
      <c r="G185" s="21"/>
      <c r="H185" s="21"/>
      <c r="I185" s="22"/>
      <c r="K185">
        <v>441460</v>
      </c>
      <c r="L185" t="s">
        <v>220</v>
      </c>
      <c r="M185" s="1">
        <v>51970.97</v>
      </c>
      <c r="N185" s="1">
        <v>1931.96</v>
      </c>
      <c r="O185" s="17">
        <v>44819.31</v>
      </c>
      <c r="P185" s="1">
        <v>5219.7</v>
      </c>
    </row>
    <row r="186" spans="1:16">
      <c r="A186">
        <v>441499</v>
      </c>
      <c r="B186" t="s">
        <v>548</v>
      </c>
      <c r="C186" t="s">
        <v>156</v>
      </c>
      <c r="D186" t="s">
        <v>169</v>
      </c>
      <c r="E186" s="1">
        <v>675965.82</v>
      </c>
      <c r="F186" s="15">
        <f t="shared" si="2"/>
        <v>675966</v>
      </c>
      <c r="G186" s="21"/>
      <c r="H186" s="21"/>
      <c r="I186" s="22"/>
      <c r="K186">
        <v>441499</v>
      </c>
      <c r="L186" t="s">
        <v>548</v>
      </c>
      <c r="M186" s="1">
        <v>675965.82</v>
      </c>
      <c r="N186" s="1">
        <v>218381.38</v>
      </c>
      <c r="O186" s="1">
        <v>409383.02</v>
      </c>
      <c r="P186" s="1">
        <v>48201.42</v>
      </c>
    </row>
    <row r="187" spans="1:16">
      <c r="A187">
        <v>441500</v>
      </c>
      <c r="B187" t="s">
        <v>551</v>
      </c>
      <c r="C187" t="s">
        <v>156</v>
      </c>
      <c r="D187" t="s">
        <v>157</v>
      </c>
      <c r="E187">
        <v>0</v>
      </c>
      <c r="F187" s="15">
        <f t="shared" si="2"/>
        <v>0</v>
      </c>
      <c r="G187" s="21"/>
      <c r="H187" s="21"/>
      <c r="I187" s="22"/>
      <c r="K187">
        <v>441500</v>
      </c>
      <c r="L187" t="s">
        <v>551</v>
      </c>
    </row>
    <row r="188" spans="1:16">
      <c r="A188">
        <v>441510</v>
      </c>
      <c r="B188" t="s">
        <v>553</v>
      </c>
      <c r="C188" t="s">
        <v>156</v>
      </c>
      <c r="D188" t="s">
        <v>162</v>
      </c>
      <c r="E188" s="1">
        <v>361255</v>
      </c>
      <c r="F188" s="15">
        <f t="shared" si="2"/>
        <v>361255</v>
      </c>
      <c r="G188" s="21"/>
      <c r="H188" s="21"/>
      <c r="I188" s="22"/>
      <c r="K188">
        <v>441510</v>
      </c>
      <c r="L188" t="s">
        <v>553</v>
      </c>
      <c r="M188" s="1">
        <v>361255</v>
      </c>
      <c r="N188" s="1">
        <v>349425</v>
      </c>
      <c r="P188" s="1">
        <v>11830</v>
      </c>
    </row>
    <row r="189" spans="1:16">
      <c r="A189">
        <v>441520</v>
      </c>
      <c r="B189" t="s">
        <v>555</v>
      </c>
      <c r="C189" t="s">
        <v>156</v>
      </c>
      <c r="D189" t="s">
        <v>162</v>
      </c>
      <c r="E189" s="1">
        <v>107421.94</v>
      </c>
      <c r="F189" s="15">
        <f t="shared" si="2"/>
        <v>107422</v>
      </c>
      <c r="G189" s="21"/>
      <c r="H189" s="21"/>
      <c r="I189" s="22"/>
      <c r="K189">
        <v>441520</v>
      </c>
      <c r="L189" t="s">
        <v>555</v>
      </c>
      <c r="M189" s="1">
        <v>107421.94</v>
      </c>
      <c r="N189" s="1">
        <v>44751.58</v>
      </c>
      <c r="O189" s="17">
        <v>42098.41</v>
      </c>
      <c r="P189" s="1">
        <v>20571.95</v>
      </c>
    </row>
    <row r="190" spans="1:16">
      <c r="A190">
        <v>441530</v>
      </c>
      <c r="B190" t="s">
        <v>557</v>
      </c>
      <c r="C190" t="s">
        <v>156</v>
      </c>
      <c r="D190" t="s">
        <v>162</v>
      </c>
      <c r="E190" s="1">
        <v>1954653</v>
      </c>
      <c r="F190" s="15">
        <f t="shared" si="2"/>
        <v>1954653</v>
      </c>
      <c r="G190" s="21"/>
      <c r="H190" s="21"/>
      <c r="I190" s="22"/>
      <c r="K190">
        <v>441530</v>
      </c>
      <c r="L190" t="s">
        <v>557</v>
      </c>
      <c r="M190" s="1">
        <v>1954802.75</v>
      </c>
      <c r="N190" s="1">
        <f>384736.42-149.75</f>
        <v>384586.67</v>
      </c>
      <c r="O190" s="17">
        <v>979282.61</v>
      </c>
      <c r="P190" s="1">
        <v>590783.72</v>
      </c>
    </row>
    <row r="191" spans="1:16">
      <c r="A191">
        <v>441540</v>
      </c>
      <c r="B191" t="s">
        <v>559</v>
      </c>
      <c r="C191" t="s">
        <v>156</v>
      </c>
      <c r="D191" t="s">
        <v>162</v>
      </c>
      <c r="E191" s="1">
        <v>74680.36</v>
      </c>
      <c r="F191" s="15">
        <f t="shared" si="2"/>
        <v>74680</v>
      </c>
      <c r="G191" s="21"/>
      <c r="H191" s="21"/>
      <c r="I191" s="22"/>
      <c r="K191">
        <v>441540</v>
      </c>
      <c r="L191" t="s">
        <v>559</v>
      </c>
      <c r="M191" s="1">
        <v>74680.36</v>
      </c>
      <c r="N191" s="1">
        <v>9916.7800000000007</v>
      </c>
      <c r="O191" s="17">
        <v>53646.99</v>
      </c>
      <c r="P191" s="1">
        <v>11116.59</v>
      </c>
    </row>
    <row r="192" spans="1:16">
      <c r="A192">
        <v>441550</v>
      </c>
      <c r="B192" t="s">
        <v>561</v>
      </c>
      <c r="C192" t="s">
        <v>156</v>
      </c>
      <c r="D192" t="s">
        <v>162</v>
      </c>
      <c r="E192" s="1">
        <v>115913.5</v>
      </c>
      <c r="F192" s="15">
        <f t="shared" si="2"/>
        <v>115914</v>
      </c>
      <c r="G192" s="21"/>
      <c r="H192" s="21"/>
      <c r="I192" s="22"/>
      <c r="K192">
        <v>441550</v>
      </c>
      <c r="L192" t="s">
        <v>561</v>
      </c>
      <c r="M192" s="1">
        <v>115913.5</v>
      </c>
      <c r="N192" s="1">
        <v>24330.41</v>
      </c>
      <c r="O192" s="17">
        <v>85566.09</v>
      </c>
      <c r="P192" s="1">
        <v>6017</v>
      </c>
    </row>
    <row r="193" spans="1:16">
      <c r="A193">
        <v>441560</v>
      </c>
      <c r="B193" t="s">
        <v>563</v>
      </c>
      <c r="C193" t="s">
        <v>156</v>
      </c>
      <c r="D193" t="s">
        <v>162</v>
      </c>
      <c r="E193" s="1">
        <v>128921.43</v>
      </c>
      <c r="F193" s="15">
        <f t="shared" si="2"/>
        <v>128921</v>
      </c>
      <c r="G193" s="21"/>
      <c r="H193" s="21"/>
      <c r="I193" s="22"/>
      <c r="K193">
        <v>441560</v>
      </c>
      <c r="L193" t="s">
        <v>563</v>
      </c>
      <c r="M193" s="1">
        <v>128921.43</v>
      </c>
      <c r="N193">
        <v>330</v>
      </c>
      <c r="O193" s="17">
        <v>122426.95</v>
      </c>
      <c r="P193" s="1">
        <v>6164.48</v>
      </c>
    </row>
    <row r="194" spans="1:16">
      <c r="A194">
        <v>441570</v>
      </c>
      <c r="B194" t="s">
        <v>565</v>
      </c>
      <c r="C194" t="s">
        <v>156</v>
      </c>
      <c r="D194" t="s">
        <v>162</v>
      </c>
      <c r="E194">
        <v>0</v>
      </c>
      <c r="F194" s="15">
        <f t="shared" si="2"/>
        <v>0</v>
      </c>
      <c r="G194" s="21"/>
      <c r="H194" s="21"/>
      <c r="I194" s="22"/>
      <c r="K194">
        <v>441570</v>
      </c>
      <c r="L194" t="s">
        <v>565</v>
      </c>
    </row>
    <row r="195" spans="1:16">
      <c r="A195">
        <v>441599</v>
      </c>
      <c r="B195" t="s">
        <v>567</v>
      </c>
      <c r="C195" t="s">
        <v>156</v>
      </c>
      <c r="D195" t="s">
        <v>169</v>
      </c>
      <c r="E195" s="1">
        <v>2742845.23</v>
      </c>
      <c r="F195" s="15">
        <f t="shared" si="2"/>
        <v>2742845</v>
      </c>
      <c r="G195" s="21"/>
      <c r="H195" s="21"/>
      <c r="I195" s="22"/>
      <c r="K195">
        <v>441599</v>
      </c>
      <c r="L195" t="s">
        <v>567</v>
      </c>
      <c r="M195" s="1">
        <v>2742994.98</v>
      </c>
      <c r="N195" s="1">
        <f>813490.19-149.75</f>
        <v>813340.44</v>
      </c>
      <c r="O195" s="1">
        <v>1283021.05</v>
      </c>
      <c r="P195" s="1">
        <v>646483.74</v>
      </c>
    </row>
    <row r="196" spans="1:16">
      <c r="A196">
        <v>441600</v>
      </c>
      <c r="B196" t="s">
        <v>570</v>
      </c>
      <c r="C196" t="s">
        <v>156</v>
      </c>
      <c r="D196" t="s">
        <v>157</v>
      </c>
      <c r="E196">
        <v>0</v>
      </c>
      <c r="F196" s="15">
        <f t="shared" si="2"/>
        <v>0</v>
      </c>
      <c r="G196" s="21"/>
      <c r="H196" s="21"/>
      <c r="I196" s="22"/>
      <c r="K196">
        <v>441600</v>
      </c>
      <c r="L196" t="s">
        <v>570</v>
      </c>
    </row>
    <row r="197" spans="1:16">
      <c r="A197">
        <v>441610</v>
      </c>
      <c r="B197" t="s">
        <v>572</v>
      </c>
      <c r="C197" t="s">
        <v>156</v>
      </c>
      <c r="D197" t="s">
        <v>162</v>
      </c>
      <c r="E197" s="1">
        <v>5348.3</v>
      </c>
      <c r="F197" s="15">
        <f t="shared" ref="F197:F260" si="3">ROUND(E197,0)</f>
        <v>5348</v>
      </c>
      <c r="G197" s="21"/>
      <c r="H197" s="21"/>
      <c r="I197" s="22"/>
      <c r="K197">
        <v>441610</v>
      </c>
      <c r="L197" t="s">
        <v>572</v>
      </c>
      <c r="M197" s="1">
        <v>5348.3</v>
      </c>
      <c r="O197" s="14">
        <v>320</v>
      </c>
      <c r="P197" s="1">
        <v>5028.3</v>
      </c>
    </row>
    <row r="198" spans="1:16">
      <c r="A198">
        <v>441620</v>
      </c>
      <c r="B198" t="s">
        <v>2339</v>
      </c>
      <c r="C198" t="s">
        <v>156</v>
      </c>
      <c r="D198" t="s">
        <v>162</v>
      </c>
      <c r="E198" s="1">
        <v>32006.65</v>
      </c>
      <c r="F198" s="15">
        <f t="shared" si="3"/>
        <v>32007</v>
      </c>
      <c r="G198" s="21"/>
      <c r="H198" s="21"/>
      <c r="I198" s="22"/>
      <c r="K198">
        <v>441620</v>
      </c>
      <c r="L198" t="s">
        <v>2339</v>
      </c>
      <c r="M198" s="1">
        <v>32006.65</v>
      </c>
      <c r="N198" s="1">
        <v>32006.65</v>
      </c>
    </row>
    <row r="199" spans="1:16">
      <c r="A199">
        <v>441630</v>
      </c>
      <c r="B199" t="s">
        <v>2340</v>
      </c>
      <c r="C199" t="s">
        <v>156</v>
      </c>
      <c r="D199" t="s">
        <v>162</v>
      </c>
      <c r="E199">
        <v>0</v>
      </c>
      <c r="F199" s="15">
        <f t="shared" si="3"/>
        <v>0</v>
      </c>
      <c r="G199" s="21"/>
      <c r="H199" s="21"/>
      <c r="I199" s="22"/>
      <c r="K199">
        <v>441630</v>
      </c>
      <c r="L199" t="s">
        <v>2340</v>
      </c>
    </row>
    <row r="200" spans="1:16">
      <c r="A200">
        <v>441699</v>
      </c>
      <c r="B200" t="s">
        <v>576</v>
      </c>
      <c r="C200" t="s">
        <v>156</v>
      </c>
      <c r="D200" t="s">
        <v>169</v>
      </c>
      <c r="E200" s="1">
        <v>37354.949999999997</v>
      </c>
      <c r="F200" s="15">
        <f t="shared" si="3"/>
        <v>37355</v>
      </c>
      <c r="G200" s="21"/>
      <c r="H200" s="21"/>
      <c r="I200" s="22"/>
      <c r="K200">
        <v>441699</v>
      </c>
      <c r="L200" t="s">
        <v>576</v>
      </c>
      <c r="M200" s="1">
        <v>37354.949999999997</v>
      </c>
      <c r="N200" s="1">
        <v>32006.65</v>
      </c>
      <c r="O200" s="14">
        <v>320</v>
      </c>
      <c r="P200" s="1">
        <v>5028.3</v>
      </c>
    </row>
    <row r="201" spans="1:16">
      <c r="A201">
        <v>441700</v>
      </c>
      <c r="B201" t="s">
        <v>579</v>
      </c>
      <c r="C201" t="s">
        <v>156</v>
      </c>
      <c r="D201" t="s">
        <v>157</v>
      </c>
      <c r="E201">
        <v>0</v>
      </c>
      <c r="F201" s="15">
        <f t="shared" si="3"/>
        <v>0</v>
      </c>
      <c r="G201" s="21"/>
      <c r="H201" s="21"/>
      <c r="I201" s="22"/>
      <c r="K201">
        <v>441700</v>
      </c>
      <c r="L201" t="s">
        <v>579</v>
      </c>
    </row>
    <row r="202" spans="1:16">
      <c r="A202">
        <v>441710</v>
      </c>
      <c r="B202" t="s">
        <v>581</v>
      </c>
      <c r="C202" t="s">
        <v>156</v>
      </c>
      <c r="D202" t="s">
        <v>162</v>
      </c>
      <c r="E202" s="1">
        <v>78481.97</v>
      </c>
      <c r="F202" s="15">
        <f t="shared" si="3"/>
        <v>78482</v>
      </c>
      <c r="G202" s="21"/>
      <c r="H202" s="21"/>
      <c r="I202" s="22"/>
      <c r="K202">
        <v>441710</v>
      </c>
      <c r="L202" t="s">
        <v>581</v>
      </c>
      <c r="M202" s="1">
        <v>78481.97</v>
      </c>
      <c r="N202" s="1">
        <v>78481.97</v>
      </c>
    </row>
    <row r="203" spans="1:16">
      <c r="A203">
        <v>441720</v>
      </c>
      <c r="B203" t="s">
        <v>583</v>
      </c>
      <c r="C203" t="s">
        <v>156</v>
      </c>
      <c r="D203" t="s">
        <v>162</v>
      </c>
      <c r="E203" s="1">
        <v>174139.35</v>
      </c>
      <c r="F203" s="15">
        <f t="shared" si="3"/>
        <v>174139</v>
      </c>
      <c r="G203" s="21"/>
      <c r="H203" s="21"/>
      <c r="I203" s="22"/>
      <c r="K203">
        <v>441720</v>
      </c>
      <c r="L203" t="s">
        <v>583</v>
      </c>
      <c r="M203" s="1">
        <v>174139.35</v>
      </c>
      <c r="N203" s="1">
        <v>174139.35</v>
      </c>
    </row>
    <row r="204" spans="1:16">
      <c r="A204">
        <v>441730</v>
      </c>
      <c r="B204" t="s">
        <v>2199</v>
      </c>
      <c r="C204" t="s">
        <v>156</v>
      </c>
      <c r="D204" t="s">
        <v>162</v>
      </c>
      <c r="E204" s="1">
        <v>-67595.11</v>
      </c>
      <c r="F204" s="15">
        <f t="shared" si="3"/>
        <v>-67595</v>
      </c>
      <c r="G204" s="21"/>
      <c r="H204" s="21"/>
      <c r="I204" s="22"/>
      <c r="K204">
        <v>441730</v>
      </c>
      <c r="L204" t="s">
        <v>2199</v>
      </c>
      <c r="M204" s="1">
        <v>-67595.11</v>
      </c>
      <c r="N204" s="1">
        <v>-67595.11</v>
      </c>
    </row>
    <row r="205" spans="1:16">
      <c r="A205">
        <v>441740</v>
      </c>
      <c r="B205" t="s">
        <v>587</v>
      </c>
      <c r="C205" t="s">
        <v>156</v>
      </c>
      <c r="D205" t="s">
        <v>162</v>
      </c>
      <c r="E205" s="1">
        <v>112780.01</v>
      </c>
      <c r="F205" s="15">
        <f t="shared" si="3"/>
        <v>112780</v>
      </c>
      <c r="G205" s="21"/>
      <c r="H205" s="21"/>
      <c r="I205" s="22"/>
      <c r="K205">
        <v>441740</v>
      </c>
      <c r="L205" t="s">
        <v>587</v>
      </c>
      <c r="M205" s="1">
        <v>112780.01</v>
      </c>
      <c r="O205" s="17">
        <v>112780.01</v>
      </c>
    </row>
    <row r="206" spans="1:16">
      <c r="A206">
        <v>441750</v>
      </c>
      <c r="B206" t="s">
        <v>589</v>
      </c>
      <c r="C206" t="s">
        <v>156</v>
      </c>
      <c r="D206" t="s">
        <v>162</v>
      </c>
      <c r="E206" s="1">
        <v>54724.18</v>
      </c>
      <c r="F206" s="15">
        <f t="shared" si="3"/>
        <v>54724</v>
      </c>
      <c r="G206" s="21"/>
      <c r="H206" s="21"/>
      <c r="I206" s="22"/>
      <c r="K206">
        <v>441750</v>
      </c>
      <c r="L206" t="s">
        <v>589</v>
      </c>
      <c r="M206" s="1">
        <v>54724.18</v>
      </c>
      <c r="O206" s="17">
        <v>54724.12</v>
      </c>
      <c r="P206">
        <v>0.06</v>
      </c>
    </row>
    <row r="207" spans="1:16">
      <c r="A207">
        <v>441760</v>
      </c>
      <c r="B207" t="s">
        <v>591</v>
      </c>
      <c r="C207" t="s">
        <v>156</v>
      </c>
      <c r="D207" t="s">
        <v>162</v>
      </c>
      <c r="E207" s="1">
        <v>18258.28</v>
      </c>
      <c r="F207" s="15">
        <f t="shared" si="3"/>
        <v>18258</v>
      </c>
      <c r="G207" s="21"/>
      <c r="H207" s="21"/>
      <c r="I207" s="22"/>
      <c r="K207">
        <v>441760</v>
      </c>
      <c r="L207" t="s">
        <v>591</v>
      </c>
      <c r="M207" s="1">
        <v>18258.28</v>
      </c>
      <c r="N207" s="1">
        <v>18258.28</v>
      </c>
    </row>
    <row r="208" spans="1:16">
      <c r="A208">
        <v>441770</v>
      </c>
      <c r="B208" t="s">
        <v>2275</v>
      </c>
      <c r="C208" t="s">
        <v>156</v>
      </c>
      <c r="D208" t="s">
        <v>162</v>
      </c>
      <c r="E208" s="1">
        <v>25539.42</v>
      </c>
      <c r="F208" s="15">
        <f t="shared" si="3"/>
        <v>25539</v>
      </c>
      <c r="G208" s="21"/>
      <c r="H208" s="21"/>
      <c r="I208" s="22"/>
      <c r="K208">
        <v>441770</v>
      </c>
      <c r="L208" t="s">
        <v>2275</v>
      </c>
      <c r="M208" s="1">
        <v>25539.42</v>
      </c>
      <c r="N208" s="1">
        <v>25539.42</v>
      </c>
    </row>
    <row r="209" spans="1:16">
      <c r="A209">
        <v>441899</v>
      </c>
      <c r="B209" t="s">
        <v>595</v>
      </c>
      <c r="C209" t="s">
        <v>156</v>
      </c>
      <c r="D209" t="s">
        <v>169</v>
      </c>
      <c r="E209" s="1">
        <v>396328.1</v>
      </c>
      <c r="F209" s="15">
        <f t="shared" si="3"/>
        <v>396328</v>
      </c>
      <c r="G209" s="21"/>
      <c r="H209" s="21"/>
      <c r="I209" s="22"/>
      <c r="K209">
        <v>441899</v>
      </c>
      <c r="L209" t="s">
        <v>595</v>
      </c>
      <c r="M209" s="1">
        <v>396328.1</v>
      </c>
      <c r="N209" s="1">
        <v>228823.91</v>
      </c>
      <c r="O209" s="1">
        <v>167504.13</v>
      </c>
      <c r="P209">
        <v>0.06</v>
      </c>
    </row>
    <row r="210" spans="1:16">
      <c r="A210">
        <v>443899</v>
      </c>
      <c r="B210" t="s">
        <v>621</v>
      </c>
      <c r="C210" t="s">
        <v>156</v>
      </c>
      <c r="D210" t="s">
        <v>169</v>
      </c>
      <c r="E210" s="1">
        <v>2719637.41</v>
      </c>
      <c r="F210" s="15">
        <f t="shared" si="3"/>
        <v>2719637</v>
      </c>
      <c r="G210" s="21"/>
      <c r="H210" s="21"/>
      <c r="I210" s="22"/>
      <c r="K210">
        <v>443899</v>
      </c>
      <c r="L210" t="s">
        <v>621</v>
      </c>
      <c r="M210" s="1">
        <v>2719787.16</v>
      </c>
      <c r="N210" s="1">
        <f>1543162.09-149.75</f>
        <v>1543012.34</v>
      </c>
      <c r="O210" s="1">
        <v>671654.08</v>
      </c>
      <c r="P210" s="1">
        <v>504970.99</v>
      </c>
    </row>
    <row r="211" spans="1:16">
      <c r="A211">
        <v>443999</v>
      </c>
      <c r="B211" t="s">
        <v>624</v>
      </c>
      <c r="C211" t="s">
        <v>156</v>
      </c>
      <c r="D211" t="s">
        <v>169</v>
      </c>
      <c r="E211" s="1">
        <v>2755649.23</v>
      </c>
      <c r="F211" s="15">
        <f t="shared" si="3"/>
        <v>2755649</v>
      </c>
      <c r="G211" s="21"/>
      <c r="H211" s="21"/>
      <c r="I211" s="22"/>
      <c r="K211">
        <v>443999</v>
      </c>
      <c r="L211" t="s">
        <v>624</v>
      </c>
      <c r="M211" s="1">
        <v>2749763.3</v>
      </c>
      <c r="N211" s="1">
        <v>1543162.09</v>
      </c>
      <c r="O211" s="1">
        <v>701630.22</v>
      </c>
      <c r="P211" s="1">
        <v>504970.99</v>
      </c>
    </row>
    <row r="212" spans="1:16">
      <c r="A212">
        <v>444000</v>
      </c>
      <c r="B212" t="s">
        <v>627</v>
      </c>
      <c r="C212" t="s">
        <v>156</v>
      </c>
      <c r="D212" t="s">
        <v>157</v>
      </c>
      <c r="E212">
        <v>0</v>
      </c>
      <c r="F212" s="15">
        <f t="shared" si="3"/>
        <v>0</v>
      </c>
      <c r="G212" s="21"/>
      <c r="H212" s="21"/>
      <c r="I212" s="22"/>
    </row>
    <row r="213" spans="1:16">
      <c r="A213">
        <v>444010</v>
      </c>
      <c r="B213" t="s">
        <v>629</v>
      </c>
      <c r="C213" t="s">
        <v>156</v>
      </c>
      <c r="D213" t="s">
        <v>162</v>
      </c>
      <c r="E213" s="1">
        <v>7731.78</v>
      </c>
      <c r="F213" s="15">
        <f t="shared" si="3"/>
        <v>7732</v>
      </c>
      <c r="G213" s="21"/>
      <c r="H213" s="21"/>
      <c r="I213" s="22"/>
    </row>
    <row r="214" spans="1:16">
      <c r="A214">
        <v>444099</v>
      </c>
      <c r="B214" t="s">
        <v>631</v>
      </c>
      <c r="C214" t="s">
        <v>156</v>
      </c>
      <c r="D214" t="s">
        <v>169</v>
      </c>
      <c r="E214" s="1">
        <v>7731.78</v>
      </c>
      <c r="F214" s="15">
        <f t="shared" si="3"/>
        <v>7732</v>
      </c>
      <c r="G214" s="21"/>
      <c r="H214" s="21"/>
      <c r="I214" s="22"/>
    </row>
    <row r="215" spans="1:16">
      <c r="A215">
        <v>444199</v>
      </c>
      <c r="B215" t="s">
        <v>634</v>
      </c>
      <c r="C215" t="s">
        <v>156</v>
      </c>
      <c r="D215" t="s">
        <v>169</v>
      </c>
      <c r="E215" s="1">
        <v>2763381.01</v>
      </c>
      <c r="F215" s="15">
        <f t="shared" si="3"/>
        <v>2763381</v>
      </c>
      <c r="G215" s="21"/>
      <c r="H215" s="21"/>
      <c r="I215" s="22"/>
    </row>
    <row r="216" spans="1:16">
      <c r="A216">
        <v>500000</v>
      </c>
      <c r="B216" t="s">
        <v>637</v>
      </c>
      <c r="C216" t="s">
        <v>156</v>
      </c>
      <c r="D216" t="s">
        <v>157</v>
      </c>
      <c r="E216">
        <v>0</v>
      </c>
      <c r="F216" s="15">
        <f t="shared" si="3"/>
        <v>0</v>
      </c>
      <c r="G216" s="21"/>
      <c r="H216" s="21"/>
      <c r="I216" s="22"/>
    </row>
    <row r="217" spans="1:16">
      <c r="A217">
        <v>500010</v>
      </c>
      <c r="B217" t="s">
        <v>639</v>
      </c>
      <c r="C217" t="s">
        <v>156</v>
      </c>
      <c r="D217" t="s">
        <v>157</v>
      </c>
      <c r="E217">
        <v>0</v>
      </c>
      <c r="F217" s="15">
        <f t="shared" si="3"/>
        <v>0</v>
      </c>
      <c r="G217" s="21"/>
      <c r="H217" s="21"/>
      <c r="I217" s="22"/>
    </row>
    <row r="218" spans="1:16">
      <c r="A218">
        <v>510000</v>
      </c>
      <c r="B218" t="s">
        <v>639</v>
      </c>
      <c r="C218" t="s">
        <v>156</v>
      </c>
      <c r="D218" t="s">
        <v>157</v>
      </c>
      <c r="E218">
        <v>0</v>
      </c>
      <c r="F218" s="15">
        <f t="shared" si="3"/>
        <v>0</v>
      </c>
      <c r="G218" s="21"/>
      <c r="H218" s="21"/>
      <c r="I218" s="22"/>
    </row>
    <row r="219" spans="1:16">
      <c r="A219">
        <v>510010</v>
      </c>
      <c r="B219" t="s">
        <v>641</v>
      </c>
      <c r="C219" t="s">
        <v>156</v>
      </c>
      <c r="D219" t="s">
        <v>162</v>
      </c>
      <c r="E219" s="1">
        <v>-2837444</v>
      </c>
      <c r="F219" s="15">
        <f t="shared" si="3"/>
        <v>-2837444</v>
      </c>
      <c r="G219" s="21"/>
      <c r="H219" s="21">
        <v>-8528</v>
      </c>
      <c r="I219" s="22"/>
    </row>
    <row r="220" spans="1:16">
      <c r="A220">
        <v>510020</v>
      </c>
      <c r="B220" t="s">
        <v>643</v>
      </c>
      <c r="C220" t="s">
        <v>156</v>
      </c>
      <c r="D220" t="s">
        <v>162</v>
      </c>
      <c r="E220" s="1">
        <v>-60993.07</v>
      </c>
      <c r="F220" s="15">
        <f t="shared" si="3"/>
        <v>-60993</v>
      </c>
      <c r="G220" s="21"/>
      <c r="H220" s="21"/>
      <c r="I220" s="22"/>
    </row>
    <row r="221" spans="1:16">
      <c r="A221">
        <v>510030</v>
      </c>
      <c r="B221" t="s">
        <v>645</v>
      </c>
      <c r="C221" t="s">
        <v>156</v>
      </c>
      <c r="D221" t="s">
        <v>162</v>
      </c>
      <c r="E221">
        <v>0</v>
      </c>
      <c r="F221" s="15">
        <f t="shared" si="3"/>
        <v>0</v>
      </c>
      <c r="G221" s="21"/>
      <c r="H221" s="21"/>
      <c r="I221" s="22"/>
    </row>
    <row r="222" spans="1:16">
      <c r="A222">
        <v>510040</v>
      </c>
      <c r="B222" t="s">
        <v>202</v>
      </c>
      <c r="C222" t="s">
        <v>156</v>
      </c>
      <c r="D222" t="s">
        <v>162</v>
      </c>
      <c r="E222" s="1">
        <v>-3612.6</v>
      </c>
      <c r="F222" s="15">
        <f t="shared" si="3"/>
        <v>-3613</v>
      </c>
      <c r="G222" s="21"/>
      <c r="H222" s="21"/>
      <c r="I222" s="22"/>
    </row>
    <row r="223" spans="1:16">
      <c r="A223">
        <v>510100</v>
      </c>
      <c r="B223" t="s">
        <v>648</v>
      </c>
      <c r="C223" t="s">
        <v>156</v>
      </c>
      <c r="D223" t="s">
        <v>162</v>
      </c>
      <c r="E223" s="1">
        <v>59003.19</v>
      </c>
      <c r="F223" s="15">
        <f t="shared" si="3"/>
        <v>59003</v>
      </c>
      <c r="G223" s="21"/>
      <c r="H223" s="21"/>
      <c r="I223" s="22"/>
    </row>
    <row r="224" spans="1:16">
      <c r="A224">
        <v>510110</v>
      </c>
      <c r="B224" t="s">
        <v>650</v>
      </c>
      <c r="C224" t="s">
        <v>156</v>
      </c>
      <c r="D224" t="s">
        <v>162</v>
      </c>
      <c r="E224" s="1">
        <v>219057.77</v>
      </c>
      <c r="F224" s="15">
        <f t="shared" si="3"/>
        <v>219058</v>
      </c>
      <c r="G224" s="21">
        <v>2684</v>
      </c>
      <c r="H224" s="21"/>
      <c r="I224" s="22"/>
    </row>
    <row r="225" spans="1:9">
      <c r="A225">
        <v>510120</v>
      </c>
      <c r="B225" t="s">
        <v>652</v>
      </c>
      <c r="C225" t="s">
        <v>156</v>
      </c>
      <c r="D225" t="s">
        <v>162</v>
      </c>
      <c r="E225" s="1">
        <v>271167.34999999998</v>
      </c>
      <c r="F225" s="15">
        <f t="shared" si="3"/>
        <v>271167</v>
      </c>
      <c r="G225" s="21"/>
      <c r="H225" s="21"/>
      <c r="I225" s="22"/>
    </row>
    <row r="226" spans="1:9">
      <c r="A226">
        <v>510130</v>
      </c>
      <c r="B226" t="s">
        <v>654</v>
      </c>
      <c r="C226" t="s">
        <v>156</v>
      </c>
      <c r="D226" t="s">
        <v>162</v>
      </c>
      <c r="E226">
        <v>160</v>
      </c>
      <c r="F226" s="15">
        <f t="shared" si="3"/>
        <v>160</v>
      </c>
      <c r="G226" s="21"/>
      <c r="H226" s="21"/>
      <c r="I226" s="22"/>
    </row>
    <row r="227" spans="1:9">
      <c r="A227">
        <v>510140</v>
      </c>
      <c r="B227" t="s">
        <v>656</v>
      </c>
      <c r="C227" t="s">
        <v>156</v>
      </c>
      <c r="D227" t="s">
        <v>162</v>
      </c>
      <c r="E227" s="1">
        <v>37590.160000000003</v>
      </c>
      <c r="F227" s="15">
        <f t="shared" si="3"/>
        <v>37590</v>
      </c>
      <c r="G227" s="21"/>
      <c r="H227" s="21"/>
      <c r="I227" s="22"/>
    </row>
    <row r="228" spans="1:9">
      <c r="A228">
        <v>510150</v>
      </c>
      <c r="B228" t="s">
        <v>658</v>
      </c>
      <c r="C228" t="s">
        <v>156</v>
      </c>
      <c r="D228" t="s">
        <v>162</v>
      </c>
      <c r="E228" s="1">
        <v>1665.15</v>
      </c>
      <c r="F228" s="15">
        <f t="shared" si="3"/>
        <v>1665</v>
      </c>
      <c r="G228" s="21"/>
      <c r="H228" s="21"/>
      <c r="I228" s="22"/>
    </row>
    <row r="229" spans="1:9">
      <c r="A229">
        <v>510160</v>
      </c>
      <c r="B229" t="s">
        <v>660</v>
      </c>
      <c r="C229" t="s">
        <v>156</v>
      </c>
      <c r="D229" t="s">
        <v>162</v>
      </c>
      <c r="E229" s="1">
        <v>887566.26</v>
      </c>
      <c r="F229" s="15">
        <f t="shared" si="3"/>
        <v>887566</v>
      </c>
      <c r="G229" s="21"/>
      <c r="H229" s="21"/>
      <c r="I229" s="22"/>
    </row>
    <row r="230" spans="1:9">
      <c r="A230">
        <v>510170</v>
      </c>
      <c r="B230" t="s">
        <v>662</v>
      </c>
      <c r="C230" t="s">
        <v>156</v>
      </c>
      <c r="D230" t="s">
        <v>162</v>
      </c>
      <c r="E230" s="1">
        <v>5637.5</v>
      </c>
      <c r="F230" s="15">
        <f t="shared" si="3"/>
        <v>5638</v>
      </c>
      <c r="G230" s="21"/>
      <c r="H230" s="21"/>
      <c r="I230" s="22"/>
    </row>
    <row r="231" spans="1:9">
      <c r="A231">
        <v>510180</v>
      </c>
      <c r="B231" t="s">
        <v>664</v>
      </c>
      <c r="C231" t="s">
        <v>156</v>
      </c>
      <c r="D231" t="s">
        <v>162</v>
      </c>
      <c r="E231" s="1">
        <v>685940.45</v>
      </c>
      <c r="F231" s="15">
        <f t="shared" si="3"/>
        <v>685940</v>
      </c>
      <c r="G231" s="21">
        <v>11380</v>
      </c>
      <c r="H231" s="21"/>
      <c r="I231" s="22"/>
    </row>
    <row r="232" spans="1:9">
      <c r="A232">
        <v>510190</v>
      </c>
      <c r="B232" t="s">
        <v>666</v>
      </c>
      <c r="C232" t="s">
        <v>156</v>
      </c>
      <c r="D232" t="s">
        <v>162</v>
      </c>
      <c r="E232" s="1">
        <v>130772.75</v>
      </c>
      <c r="F232" s="15">
        <f t="shared" si="3"/>
        <v>130773</v>
      </c>
      <c r="G232" s="21"/>
      <c r="H232" s="21"/>
      <c r="I232" s="22"/>
    </row>
    <row r="233" spans="1:9">
      <c r="A233">
        <v>510200</v>
      </c>
      <c r="B233" t="s">
        <v>220</v>
      </c>
      <c r="C233" t="s">
        <v>156</v>
      </c>
      <c r="D233" t="s">
        <v>162</v>
      </c>
      <c r="E233" s="1">
        <v>73949.960000000006</v>
      </c>
      <c r="F233" s="15">
        <f t="shared" si="3"/>
        <v>73950</v>
      </c>
      <c r="G233" s="21"/>
      <c r="H233" s="21"/>
      <c r="I233" s="22"/>
    </row>
    <row r="234" spans="1:9">
      <c r="A234">
        <v>510999</v>
      </c>
      <c r="B234" t="s">
        <v>1586</v>
      </c>
      <c r="C234" t="s">
        <v>156</v>
      </c>
      <c r="D234" t="s">
        <v>169</v>
      </c>
      <c r="E234" s="1">
        <v>-529539.13</v>
      </c>
      <c r="F234" s="15">
        <f t="shared" si="3"/>
        <v>-529539</v>
      </c>
      <c r="G234" s="21"/>
      <c r="H234" s="21"/>
      <c r="I234" s="22"/>
    </row>
    <row r="235" spans="1:9">
      <c r="A235">
        <v>511000</v>
      </c>
      <c r="B235" t="s">
        <v>2256</v>
      </c>
      <c r="C235" t="s">
        <v>156</v>
      </c>
      <c r="D235" t="s">
        <v>157</v>
      </c>
      <c r="E235">
        <v>0</v>
      </c>
      <c r="F235" s="15">
        <f t="shared" si="3"/>
        <v>0</v>
      </c>
      <c r="G235" s="21"/>
      <c r="H235" s="21"/>
      <c r="I235" s="22"/>
    </row>
    <row r="236" spans="1:9">
      <c r="A236">
        <v>511010</v>
      </c>
      <c r="B236" t="s">
        <v>669</v>
      </c>
      <c r="C236" t="s">
        <v>156</v>
      </c>
      <c r="D236" t="s">
        <v>162</v>
      </c>
      <c r="E236" s="1">
        <v>579330.53</v>
      </c>
      <c r="F236" s="15">
        <f t="shared" si="3"/>
        <v>579331</v>
      </c>
      <c r="G236" s="21"/>
      <c r="H236" s="21">
        <v>1225</v>
      </c>
      <c r="I236" s="22"/>
    </row>
    <row r="237" spans="1:9">
      <c r="A237">
        <v>511020</v>
      </c>
      <c r="B237" t="s">
        <v>671</v>
      </c>
      <c r="C237" t="s">
        <v>156</v>
      </c>
      <c r="D237" t="s">
        <v>162</v>
      </c>
      <c r="E237">
        <v>0</v>
      </c>
      <c r="F237" s="15">
        <f t="shared" si="3"/>
        <v>0</v>
      </c>
      <c r="G237" s="21"/>
      <c r="H237" s="21"/>
      <c r="I237" s="22"/>
    </row>
    <row r="238" spans="1:9">
      <c r="A238">
        <v>511198</v>
      </c>
      <c r="B238" t="s">
        <v>2167</v>
      </c>
      <c r="C238" t="s">
        <v>156</v>
      </c>
      <c r="D238" t="s">
        <v>169</v>
      </c>
      <c r="E238" s="1">
        <v>579330.53</v>
      </c>
      <c r="F238" s="15">
        <f t="shared" si="3"/>
        <v>579331</v>
      </c>
      <c r="G238" s="21"/>
      <c r="H238" s="21"/>
      <c r="I238" s="22"/>
    </row>
    <row r="239" spans="1:9">
      <c r="A239">
        <v>511199</v>
      </c>
      <c r="B239" t="s">
        <v>673</v>
      </c>
      <c r="C239" t="s">
        <v>156</v>
      </c>
      <c r="D239" t="s">
        <v>169</v>
      </c>
      <c r="E239" s="1">
        <v>49791.4</v>
      </c>
      <c r="F239" s="15">
        <f t="shared" si="3"/>
        <v>49791</v>
      </c>
      <c r="G239" s="21"/>
      <c r="H239" s="21"/>
      <c r="I239" s="22"/>
    </row>
    <row r="240" spans="1:9">
      <c r="A240">
        <v>520000</v>
      </c>
      <c r="B240" t="s">
        <v>676</v>
      </c>
      <c r="C240" t="s">
        <v>156</v>
      </c>
      <c r="D240" t="s">
        <v>157</v>
      </c>
      <c r="E240">
        <v>0</v>
      </c>
      <c r="F240" s="15">
        <f t="shared" si="3"/>
        <v>0</v>
      </c>
      <c r="G240" s="21"/>
      <c r="H240" s="21"/>
      <c r="I240" s="22"/>
    </row>
    <row r="241" spans="1:9">
      <c r="A241">
        <v>520010</v>
      </c>
      <c r="B241" t="s">
        <v>678</v>
      </c>
      <c r="C241" t="s">
        <v>156</v>
      </c>
      <c r="D241" t="s">
        <v>162</v>
      </c>
      <c r="E241" s="1">
        <v>7656.45</v>
      </c>
      <c r="F241" s="15">
        <f t="shared" si="3"/>
        <v>7656</v>
      </c>
      <c r="G241" s="21"/>
      <c r="H241" s="21"/>
      <c r="I241" s="22"/>
    </row>
    <row r="242" spans="1:9">
      <c r="A242">
        <v>520020</v>
      </c>
      <c r="B242" t="s">
        <v>680</v>
      </c>
      <c r="C242" t="s">
        <v>156</v>
      </c>
      <c r="D242" t="s">
        <v>162</v>
      </c>
      <c r="E242" s="1">
        <v>15164.7</v>
      </c>
      <c r="F242" s="15">
        <f t="shared" si="3"/>
        <v>15165</v>
      </c>
      <c r="G242" s="21"/>
      <c r="H242" s="21"/>
      <c r="I242" s="22"/>
    </row>
    <row r="243" spans="1:9">
      <c r="A243">
        <v>520099</v>
      </c>
      <c r="B243" t="s">
        <v>682</v>
      </c>
      <c r="C243" t="s">
        <v>156</v>
      </c>
      <c r="D243" t="s">
        <v>169</v>
      </c>
      <c r="E243" s="1">
        <v>22821.15</v>
      </c>
      <c r="F243" s="15">
        <f t="shared" si="3"/>
        <v>22821</v>
      </c>
      <c r="G243" s="21"/>
      <c r="H243" s="21"/>
      <c r="I243" s="22"/>
    </row>
    <row r="244" spans="1:9">
      <c r="A244">
        <v>530000</v>
      </c>
      <c r="B244" t="s">
        <v>685</v>
      </c>
      <c r="C244" t="s">
        <v>156</v>
      </c>
      <c r="D244" t="s">
        <v>157</v>
      </c>
      <c r="E244">
        <v>0</v>
      </c>
      <c r="F244" s="15">
        <f t="shared" si="3"/>
        <v>0</v>
      </c>
      <c r="G244" s="21"/>
      <c r="H244" s="21"/>
      <c r="I244" s="22"/>
    </row>
    <row r="245" spans="1:9">
      <c r="A245">
        <v>530010</v>
      </c>
      <c r="B245" t="s">
        <v>687</v>
      </c>
      <c r="C245" t="s">
        <v>156</v>
      </c>
      <c r="D245" t="s">
        <v>162</v>
      </c>
      <c r="E245" s="1">
        <v>220955.2</v>
      </c>
      <c r="F245" s="15">
        <f t="shared" si="3"/>
        <v>220955</v>
      </c>
      <c r="G245" s="21"/>
      <c r="H245" s="21"/>
      <c r="I245" s="22"/>
    </row>
    <row r="246" spans="1:9">
      <c r="A246">
        <v>530020</v>
      </c>
      <c r="B246" t="s">
        <v>689</v>
      </c>
      <c r="C246" t="s">
        <v>156</v>
      </c>
      <c r="D246" t="s">
        <v>162</v>
      </c>
      <c r="E246" s="1">
        <v>8433.34</v>
      </c>
      <c r="F246" s="15">
        <f t="shared" si="3"/>
        <v>8433</v>
      </c>
      <c r="G246" s="21"/>
      <c r="H246" s="21"/>
      <c r="I246" s="22"/>
    </row>
    <row r="247" spans="1:9">
      <c r="A247">
        <v>530030</v>
      </c>
      <c r="B247" t="s">
        <v>691</v>
      </c>
      <c r="C247" t="s">
        <v>156</v>
      </c>
      <c r="D247" t="s">
        <v>162</v>
      </c>
      <c r="E247" s="1">
        <v>79351.13</v>
      </c>
      <c r="F247" s="15">
        <f t="shared" si="3"/>
        <v>79351</v>
      </c>
      <c r="G247" s="21"/>
      <c r="H247" s="21"/>
      <c r="I247" s="22"/>
    </row>
    <row r="248" spans="1:9">
      <c r="A248">
        <v>530040</v>
      </c>
      <c r="B248" t="s">
        <v>693</v>
      </c>
      <c r="C248" t="s">
        <v>156</v>
      </c>
      <c r="D248" t="s">
        <v>162</v>
      </c>
      <c r="E248" s="1">
        <v>12871.75</v>
      </c>
      <c r="F248" s="15">
        <f t="shared" si="3"/>
        <v>12872</v>
      </c>
      <c r="G248" s="21"/>
      <c r="H248" s="21"/>
      <c r="I248" s="22"/>
    </row>
    <row r="249" spans="1:9">
      <c r="A249">
        <v>530060</v>
      </c>
      <c r="B249" t="s">
        <v>695</v>
      </c>
      <c r="C249" t="s">
        <v>156</v>
      </c>
      <c r="D249" t="s">
        <v>162</v>
      </c>
      <c r="E249" s="1">
        <v>48117.3</v>
      </c>
      <c r="F249" s="15">
        <f t="shared" si="3"/>
        <v>48117</v>
      </c>
      <c r="G249" s="21"/>
      <c r="H249" s="21"/>
      <c r="I249" s="22"/>
    </row>
    <row r="250" spans="1:9">
      <c r="A250">
        <v>530099</v>
      </c>
      <c r="B250" t="s">
        <v>697</v>
      </c>
      <c r="C250" t="s">
        <v>156</v>
      </c>
      <c r="D250" t="s">
        <v>169</v>
      </c>
      <c r="E250" s="1">
        <v>369728.72</v>
      </c>
      <c r="F250" s="15">
        <f t="shared" si="3"/>
        <v>369729</v>
      </c>
      <c r="G250" s="21"/>
      <c r="H250" s="21"/>
      <c r="I250" s="22"/>
    </row>
    <row r="251" spans="1:9">
      <c r="A251">
        <v>540000</v>
      </c>
      <c r="B251" t="s">
        <v>700</v>
      </c>
      <c r="C251" t="s">
        <v>156</v>
      </c>
      <c r="D251" t="s">
        <v>157</v>
      </c>
      <c r="E251">
        <v>0</v>
      </c>
      <c r="F251" s="15">
        <f t="shared" si="3"/>
        <v>0</v>
      </c>
      <c r="G251" s="21"/>
      <c r="H251" s="21"/>
      <c r="I251" s="22"/>
    </row>
    <row r="252" spans="1:9">
      <c r="A252">
        <v>540010</v>
      </c>
      <c r="B252" t="s">
        <v>702</v>
      </c>
      <c r="C252" t="s">
        <v>156</v>
      </c>
      <c r="D252" t="s">
        <v>162</v>
      </c>
      <c r="E252">
        <v>0</v>
      </c>
      <c r="F252" s="15">
        <f t="shared" si="3"/>
        <v>0</v>
      </c>
      <c r="G252" s="21"/>
      <c r="H252" s="21"/>
      <c r="I252" s="22"/>
    </row>
    <row r="253" spans="1:9">
      <c r="A253">
        <v>540020</v>
      </c>
      <c r="B253" t="s">
        <v>704</v>
      </c>
      <c r="C253" t="s">
        <v>156</v>
      </c>
      <c r="D253" t="s">
        <v>162</v>
      </c>
      <c r="E253">
        <v>0</v>
      </c>
      <c r="F253" s="15">
        <f t="shared" si="3"/>
        <v>0</v>
      </c>
      <c r="G253" s="21"/>
      <c r="H253" s="21"/>
      <c r="I253" s="22"/>
    </row>
    <row r="254" spans="1:9">
      <c r="A254">
        <v>540030</v>
      </c>
      <c r="B254" t="s">
        <v>664</v>
      </c>
      <c r="C254" t="s">
        <v>156</v>
      </c>
      <c r="D254" t="s">
        <v>162</v>
      </c>
      <c r="E254">
        <v>0</v>
      </c>
      <c r="F254" s="15">
        <f t="shared" si="3"/>
        <v>0</v>
      </c>
      <c r="G254" s="21"/>
      <c r="H254" s="21"/>
      <c r="I254" s="22"/>
    </row>
    <row r="255" spans="1:9">
      <c r="A255">
        <v>540040</v>
      </c>
      <c r="B255" t="s">
        <v>707</v>
      </c>
      <c r="C255" t="s">
        <v>156</v>
      </c>
      <c r="D255" t="s">
        <v>162</v>
      </c>
      <c r="E255" s="1">
        <v>1170</v>
      </c>
      <c r="F255" s="15">
        <f t="shared" si="3"/>
        <v>1170</v>
      </c>
      <c r="G255" s="21"/>
      <c r="H255" s="21"/>
      <c r="I255" s="22"/>
    </row>
    <row r="256" spans="1:9">
      <c r="A256">
        <v>540050</v>
      </c>
      <c r="B256" t="s">
        <v>709</v>
      </c>
      <c r="C256" t="s">
        <v>156</v>
      </c>
      <c r="D256" t="s">
        <v>162</v>
      </c>
      <c r="E256">
        <v>0</v>
      </c>
      <c r="F256" s="15">
        <f t="shared" si="3"/>
        <v>0</v>
      </c>
      <c r="G256" s="21"/>
      <c r="H256" s="21"/>
      <c r="I256" s="22"/>
    </row>
    <row r="257" spans="1:9">
      <c r="A257">
        <v>540060</v>
      </c>
      <c r="B257" t="s">
        <v>711</v>
      </c>
      <c r="C257" t="s">
        <v>156</v>
      </c>
      <c r="D257" t="s">
        <v>162</v>
      </c>
      <c r="E257" s="1">
        <v>28000</v>
      </c>
      <c r="F257" s="15">
        <f t="shared" si="3"/>
        <v>28000</v>
      </c>
      <c r="G257" s="21"/>
      <c r="H257" s="21"/>
      <c r="I257" s="22"/>
    </row>
    <row r="258" spans="1:9">
      <c r="A258">
        <v>540199</v>
      </c>
      <c r="B258" t="s">
        <v>713</v>
      </c>
      <c r="C258" t="s">
        <v>156</v>
      </c>
      <c r="D258" t="s">
        <v>169</v>
      </c>
      <c r="E258" s="1">
        <v>29170</v>
      </c>
      <c r="F258" s="15">
        <f t="shared" si="3"/>
        <v>29170</v>
      </c>
      <c r="G258" s="21"/>
      <c r="H258" s="21"/>
      <c r="I258" s="22"/>
    </row>
    <row r="259" spans="1:9">
      <c r="A259">
        <v>541199</v>
      </c>
      <c r="B259" t="s">
        <v>716</v>
      </c>
      <c r="C259" t="s">
        <v>156</v>
      </c>
      <c r="D259" t="s">
        <v>169</v>
      </c>
      <c r="E259" s="1">
        <v>471511.27</v>
      </c>
      <c r="F259" s="15">
        <f t="shared" si="3"/>
        <v>471511</v>
      </c>
      <c r="G259" s="21"/>
      <c r="H259" s="21"/>
      <c r="I259" s="22"/>
    </row>
    <row r="260" spans="1:9">
      <c r="A260">
        <v>600000</v>
      </c>
      <c r="B260" t="s">
        <v>719</v>
      </c>
      <c r="C260" t="s">
        <v>156</v>
      </c>
      <c r="D260" t="s">
        <v>157</v>
      </c>
      <c r="E260">
        <v>0</v>
      </c>
      <c r="F260" s="15">
        <f t="shared" si="3"/>
        <v>0</v>
      </c>
      <c r="G260" s="21"/>
      <c r="H260" s="21"/>
      <c r="I260" s="22"/>
    </row>
    <row r="261" spans="1:9">
      <c r="A261">
        <v>610000</v>
      </c>
      <c r="B261" t="s">
        <v>721</v>
      </c>
      <c r="C261" t="s">
        <v>156</v>
      </c>
      <c r="D261" t="s">
        <v>157</v>
      </c>
      <c r="E261">
        <v>0</v>
      </c>
      <c r="F261" s="15">
        <f t="shared" ref="F261:F324" si="4">ROUND(E261,0)</f>
        <v>0</v>
      </c>
      <c r="G261" s="21"/>
      <c r="H261" s="21"/>
      <c r="I261" s="22"/>
    </row>
    <row r="262" spans="1:9">
      <c r="A262">
        <v>610010</v>
      </c>
      <c r="B262" t="s">
        <v>723</v>
      </c>
      <c r="C262" t="s">
        <v>156</v>
      </c>
      <c r="D262" t="s">
        <v>162</v>
      </c>
      <c r="E262" s="1">
        <v>-48280.1</v>
      </c>
      <c r="F262" s="31">
        <f t="shared" si="4"/>
        <v>-48280</v>
      </c>
      <c r="G262" s="21"/>
      <c r="H262" s="21"/>
      <c r="I262" s="22"/>
    </row>
    <row r="263" spans="1:9">
      <c r="A263">
        <v>610020</v>
      </c>
      <c r="B263" t="s">
        <v>757</v>
      </c>
      <c r="C263" t="s">
        <v>156</v>
      </c>
      <c r="D263" t="s">
        <v>162</v>
      </c>
      <c r="E263" s="1">
        <v>-36136.199999999997</v>
      </c>
      <c r="F263" s="15">
        <f t="shared" si="4"/>
        <v>-36136</v>
      </c>
      <c r="G263" s="21"/>
      <c r="H263" s="21"/>
      <c r="I263" s="22"/>
    </row>
    <row r="264" spans="1:9">
      <c r="A264">
        <v>610030</v>
      </c>
      <c r="B264" t="s">
        <v>2276</v>
      </c>
      <c r="C264" t="s">
        <v>156</v>
      </c>
      <c r="D264" t="s">
        <v>162</v>
      </c>
      <c r="E264" s="1">
        <v>-7323</v>
      </c>
      <c r="F264" s="31">
        <f t="shared" si="4"/>
        <v>-7323</v>
      </c>
      <c r="G264" s="21"/>
      <c r="H264" s="21"/>
      <c r="I264" s="22"/>
    </row>
    <row r="265" spans="1:9">
      <c r="A265">
        <v>610100</v>
      </c>
      <c r="B265" t="s">
        <v>731</v>
      </c>
      <c r="C265" t="s">
        <v>156</v>
      </c>
      <c r="D265" t="s">
        <v>162</v>
      </c>
      <c r="E265" s="1">
        <v>148853.94</v>
      </c>
      <c r="F265" s="31">
        <f t="shared" si="4"/>
        <v>148854</v>
      </c>
      <c r="G265" s="21"/>
      <c r="H265" s="21"/>
      <c r="I265" s="16">
        <f>-6544-75384-22272</f>
        <v>-104200</v>
      </c>
    </row>
    <row r="266" spans="1:9">
      <c r="A266">
        <v>610110</v>
      </c>
      <c r="B266" t="s">
        <v>733</v>
      </c>
      <c r="C266" t="s">
        <v>156</v>
      </c>
      <c r="D266" t="s">
        <v>162</v>
      </c>
      <c r="E266" s="1">
        <v>664083.02</v>
      </c>
      <c r="F266" s="31">
        <f t="shared" si="4"/>
        <v>664083</v>
      </c>
      <c r="G266" s="21"/>
      <c r="H266" s="21"/>
      <c r="I266" s="22"/>
    </row>
    <row r="267" spans="1:9">
      <c r="A267">
        <v>610120</v>
      </c>
      <c r="B267" t="s">
        <v>735</v>
      </c>
      <c r="C267" t="s">
        <v>156</v>
      </c>
      <c r="D267" t="s">
        <v>162</v>
      </c>
      <c r="E267" s="1">
        <v>613826.03</v>
      </c>
      <c r="F267" s="31">
        <f t="shared" si="4"/>
        <v>613826</v>
      </c>
      <c r="G267" s="21"/>
      <c r="H267" s="21"/>
      <c r="I267" s="22"/>
    </row>
    <row r="268" spans="1:9">
      <c r="A268">
        <v>610130</v>
      </c>
      <c r="B268" t="s">
        <v>737</v>
      </c>
      <c r="C268" t="s">
        <v>156</v>
      </c>
      <c r="D268" t="s">
        <v>162</v>
      </c>
      <c r="E268" s="1">
        <v>70430.820000000007</v>
      </c>
      <c r="F268" s="31">
        <f t="shared" si="4"/>
        <v>70431</v>
      </c>
      <c r="G268" s="16">
        <v>1510</v>
      </c>
      <c r="H268" s="21"/>
      <c r="I268" s="22"/>
    </row>
    <row r="269" spans="1:9">
      <c r="A269">
        <v>610140</v>
      </c>
      <c r="B269" t="s">
        <v>739</v>
      </c>
      <c r="C269" t="s">
        <v>156</v>
      </c>
      <c r="D269" t="s">
        <v>162</v>
      </c>
      <c r="E269" s="1">
        <v>2950.25</v>
      </c>
      <c r="F269" s="31">
        <f t="shared" si="4"/>
        <v>2950</v>
      </c>
      <c r="G269" s="21"/>
      <c r="H269" s="21"/>
      <c r="I269" s="22"/>
    </row>
    <row r="270" spans="1:9">
      <c r="A270">
        <v>610150</v>
      </c>
      <c r="B270" t="s">
        <v>741</v>
      </c>
      <c r="C270" t="s">
        <v>156</v>
      </c>
      <c r="D270" t="s">
        <v>162</v>
      </c>
      <c r="E270" s="1">
        <v>59295.18</v>
      </c>
      <c r="F270" s="31">
        <f t="shared" si="4"/>
        <v>59295</v>
      </c>
      <c r="G270" s="21"/>
      <c r="H270" s="21"/>
      <c r="I270" s="22"/>
    </row>
    <row r="271" spans="1:9">
      <c r="A271">
        <v>610160</v>
      </c>
      <c r="B271" t="s">
        <v>743</v>
      </c>
      <c r="C271" t="s">
        <v>156</v>
      </c>
      <c r="D271" t="s">
        <v>162</v>
      </c>
      <c r="E271" s="1">
        <v>11354.95</v>
      </c>
      <c r="F271" s="31">
        <f t="shared" si="4"/>
        <v>11355</v>
      </c>
      <c r="G271" s="21"/>
      <c r="H271" s="21"/>
      <c r="I271" s="22"/>
    </row>
    <row r="272" spans="1:9">
      <c r="A272">
        <v>610170</v>
      </c>
      <c r="B272" t="s">
        <v>2302</v>
      </c>
      <c r="C272" t="s">
        <v>156</v>
      </c>
      <c r="D272" t="s">
        <v>162</v>
      </c>
      <c r="E272" s="1">
        <v>2492350.6800000002</v>
      </c>
      <c r="F272" s="31">
        <f t="shared" si="4"/>
        <v>2492351</v>
      </c>
      <c r="G272" s="21"/>
      <c r="H272" s="21"/>
      <c r="I272" s="22"/>
    </row>
    <row r="273" spans="1:9">
      <c r="A273">
        <v>610180</v>
      </c>
      <c r="B273" t="s">
        <v>2200</v>
      </c>
      <c r="C273" t="s">
        <v>156</v>
      </c>
      <c r="D273" t="s">
        <v>162</v>
      </c>
      <c r="E273">
        <v>0</v>
      </c>
      <c r="F273" s="15">
        <f t="shared" si="4"/>
        <v>0</v>
      </c>
      <c r="G273" s="21"/>
      <c r="H273" s="21"/>
      <c r="I273" s="22"/>
    </row>
    <row r="274" spans="1:9">
      <c r="A274">
        <v>610190</v>
      </c>
      <c r="B274" t="s">
        <v>748</v>
      </c>
      <c r="C274" t="s">
        <v>156</v>
      </c>
      <c r="D274" t="s">
        <v>162</v>
      </c>
      <c r="E274" s="1">
        <v>130000</v>
      </c>
      <c r="F274" s="31">
        <f t="shared" si="4"/>
        <v>130000</v>
      </c>
      <c r="G274" s="21"/>
      <c r="H274" s="21"/>
      <c r="I274" s="22"/>
    </row>
    <row r="275" spans="1:9">
      <c r="A275">
        <v>610195</v>
      </c>
      <c r="B275" t="s">
        <v>2201</v>
      </c>
      <c r="C275" t="s">
        <v>156</v>
      </c>
      <c r="D275" t="s">
        <v>162</v>
      </c>
      <c r="E275" s="1">
        <v>253934.28</v>
      </c>
      <c r="F275" s="31">
        <f t="shared" si="4"/>
        <v>253934</v>
      </c>
      <c r="G275" s="21"/>
      <c r="H275" s="21"/>
      <c r="I275" s="22"/>
    </row>
    <row r="276" spans="1:9">
      <c r="A276">
        <v>610200</v>
      </c>
      <c r="B276" t="s">
        <v>752</v>
      </c>
      <c r="C276" t="s">
        <v>156</v>
      </c>
      <c r="D276" t="s">
        <v>162</v>
      </c>
      <c r="E276" s="1">
        <v>5416.08</v>
      </c>
      <c r="F276" s="31">
        <f t="shared" si="4"/>
        <v>5416</v>
      </c>
      <c r="G276" s="21"/>
      <c r="H276" s="21"/>
      <c r="I276" s="22"/>
    </row>
    <row r="277" spans="1:9">
      <c r="A277">
        <v>610210</v>
      </c>
      <c r="B277" t="s">
        <v>2341</v>
      </c>
      <c r="C277" t="s">
        <v>156</v>
      </c>
      <c r="D277" t="s">
        <v>162</v>
      </c>
      <c r="E277">
        <v>0</v>
      </c>
      <c r="F277" s="15">
        <f t="shared" si="4"/>
        <v>0</v>
      </c>
      <c r="G277" s="21"/>
      <c r="H277" s="21"/>
      <c r="I277" s="22"/>
    </row>
    <row r="278" spans="1:9">
      <c r="A278">
        <v>610220</v>
      </c>
      <c r="B278" t="s">
        <v>220</v>
      </c>
      <c r="C278" t="s">
        <v>156</v>
      </c>
      <c r="D278" t="s">
        <v>162</v>
      </c>
      <c r="E278" s="1">
        <v>14293.47</v>
      </c>
      <c r="F278" s="15">
        <f t="shared" si="4"/>
        <v>14293</v>
      </c>
      <c r="G278" s="21"/>
      <c r="H278" s="21"/>
      <c r="I278" s="22"/>
    </row>
    <row r="279" spans="1:9">
      <c r="A279">
        <v>610230</v>
      </c>
      <c r="B279" t="s">
        <v>755</v>
      </c>
      <c r="C279" t="s">
        <v>156</v>
      </c>
      <c r="D279" t="s">
        <v>162</v>
      </c>
      <c r="E279">
        <v>-137.78</v>
      </c>
      <c r="F279" s="15">
        <f t="shared" si="4"/>
        <v>-138</v>
      </c>
      <c r="G279" s="21"/>
      <c r="H279" s="21"/>
      <c r="I279" s="22"/>
    </row>
    <row r="280" spans="1:9">
      <c r="A280">
        <v>610240</v>
      </c>
      <c r="B280" t="s">
        <v>1533</v>
      </c>
      <c r="C280" t="s">
        <v>156</v>
      </c>
      <c r="D280" t="s">
        <v>162</v>
      </c>
      <c r="E280">
        <v>274.97000000000003</v>
      </c>
      <c r="F280" s="15">
        <f t="shared" si="4"/>
        <v>275</v>
      </c>
      <c r="G280" s="21"/>
      <c r="H280" s="21"/>
      <c r="I280" s="22"/>
    </row>
    <row r="281" spans="1:9">
      <c r="A281">
        <v>610299</v>
      </c>
      <c r="B281" t="s">
        <v>759</v>
      </c>
      <c r="C281" t="s">
        <v>156</v>
      </c>
      <c r="D281" t="s">
        <v>169</v>
      </c>
      <c r="E281" s="1">
        <v>4375186.59</v>
      </c>
      <c r="F281" s="15">
        <f t="shared" si="4"/>
        <v>4375187</v>
      </c>
      <c r="G281" s="21"/>
      <c r="H281" s="21"/>
      <c r="I281" s="22"/>
    </row>
    <row r="282" spans="1:9">
      <c r="A282">
        <v>620000</v>
      </c>
      <c r="B282" t="s">
        <v>762</v>
      </c>
      <c r="C282" t="s">
        <v>156</v>
      </c>
      <c r="D282" t="s">
        <v>157</v>
      </c>
      <c r="E282">
        <v>0</v>
      </c>
      <c r="F282" s="15">
        <f t="shared" si="4"/>
        <v>0</v>
      </c>
      <c r="G282" s="21"/>
      <c r="H282" s="21"/>
      <c r="I282" s="22"/>
    </row>
    <row r="283" spans="1:9">
      <c r="A283">
        <v>620010</v>
      </c>
      <c r="B283" t="s">
        <v>764</v>
      </c>
      <c r="C283" t="s">
        <v>156</v>
      </c>
      <c r="D283" t="s">
        <v>162</v>
      </c>
      <c r="E283" s="1">
        <v>88931.81</v>
      </c>
      <c r="F283" s="15">
        <f t="shared" si="4"/>
        <v>88932</v>
      </c>
      <c r="G283" s="21"/>
      <c r="H283" s="21"/>
      <c r="I283" s="22"/>
    </row>
    <row r="284" spans="1:9">
      <c r="A284">
        <v>620020</v>
      </c>
      <c r="B284" t="s">
        <v>766</v>
      </c>
      <c r="C284" t="s">
        <v>156</v>
      </c>
      <c r="D284" t="s">
        <v>162</v>
      </c>
      <c r="E284" s="1">
        <v>59674</v>
      </c>
      <c r="F284" s="15">
        <f t="shared" si="4"/>
        <v>59674</v>
      </c>
      <c r="G284" s="21"/>
      <c r="H284" s="21"/>
      <c r="I284" s="22"/>
    </row>
    <row r="285" spans="1:9">
      <c r="A285">
        <v>620030</v>
      </c>
      <c r="B285" t="s">
        <v>768</v>
      </c>
      <c r="C285" t="s">
        <v>156</v>
      </c>
      <c r="D285" t="s">
        <v>162</v>
      </c>
      <c r="E285" s="1">
        <v>108253.73</v>
      </c>
      <c r="F285" s="15">
        <f t="shared" si="4"/>
        <v>108254</v>
      </c>
      <c r="G285" s="21"/>
      <c r="H285" s="21"/>
      <c r="I285" s="22"/>
    </row>
    <row r="286" spans="1:9">
      <c r="A286">
        <v>620040</v>
      </c>
      <c r="B286" t="s">
        <v>770</v>
      </c>
      <c r="C286" t="s">
        <v>156</v>
      </c>
      <c r="D286" t="s">
        <v>162</v>
      </c>
      <c r="E286" s="1">
        <v>-14837.95</v>
      </c>
      <c r="F286" s="15">
        <f t="shared" si="4"/>
        <v>-14838</v>
      </c>
      <c r="G286" s="21"/>
      <c r="H286" s="21"/>
      <c r="I286" s="22"/>
    </row>
    <row r="287" spans="1:9">
      <c r="A287">
        <v>620050</v>
      </c>
      <c r="B287" t="s">
        <v>2277</v>
      </c>
      <c r="C287" t="s">
        <v>156</v>
      </c>
      <c r="D287" t="s">
        <v>162</v>
      </c>
      <c r="E287">
        <v>0</v>
      </c>
      <c r="F287" s="15">
        <f t="shared" si="4"/>
        <v>0</v>
      </c>
      <c r="G287" s="21"/>
      <c r="H287" s="21"/>
      <c r="I287" s="22"/>
    </row>
    <row r="288" spans="1:9">
      <c r="A288">
        <v>620060</v>
      </c>
      <c r="B288" t="s">
        <v>774</v>
      </c>
      <c r="C288" t="s">
        <v>156</v>
      </c>
      <c r="D288" t="s">
        <v>162</v>
      </c>
      <c r="E288">
        <v>-99</v>
      </c>
      <c r="F288" s="15">
        <f t="shared" si="4"/>
        <v>-99</v>
      </c>
      <c r="G288" s="21"/>
      <c r="H288" s="21"/>
      <c r="I288" s="22"/>
    </row>
    <row r="289" spans="1:9">
      <c r="A289">
        <v>620199</v>
      </c>
      <c r="B289" t="s">
        <v>776</v>
      </c>
      <c r="C289" t="s">
        <v>156</v>
      </c>
      <c r="D289" t="s">
        <v>169</v>
      </c>
      <c r="E289" s="1">
        <v>241922.59</v>
      </c>
      <c r="F289" s="15">
        <f t="shared" si="4"/>
        <v>241923</v>
      </c>
      <c r="G289" s="21"/>
      <c r="H289" s="21"/>
      <c r="I289" s="22"/>
    </row>
    <row r="290" spans="1:9">
      <c r="A290">
        <v>630000</v>
      </c>
      <c r="B290" t="s">
        <v>779</v>
      </c>
      <c r="C290" t="s">
        <v>156</v>
      </c>
      <c r="D290" t="s">
        <v>157</v>
      </c>
      <c r="E290">
        <v>0</v>
      </c>
      <c r="F290" s="15">
        <f t="shared" si="4"/>
        <v>0</v>
      </c>
      <c r="G290" s="21"/>
      <c r="H290" s="21"/>
      <c r="I290" s="22"/>
    </row>
    <row r="291" spans="1:9">
      <c r="A291">
        <v>630010</v>
      </c>
      <c r="B291" t="s">
        <v>781</v>
      </c>
      <c r="C291" t="s">
        <v>156</v>
      </c>
      <c r="D291" t="s">
        <v>162</v>
      </c>
      <c r="E291" s="1">
        <v>193318.78</v>
      </c>
      <c r="F291" s="15">
        <f t="shared" si="4"/>
        <v>193319</v>
      </c>
      <c r="G291" s="21"/>
      <c r="H291" s="21"/>
      <c r="I291" s="22"/>
    </row>
    <row r="292" spans="1:9">
      <c r="A292">
        <v>630020</v>
      </c>
      <c r="B292" t="s">
        <v>446</v>
      </c>
      <c r="C292" t="s">
        <v>156</v>
      </c>
      <c r="D292" t="s">
        <v>162</v>
      </c>
      <c r="E292">
        <v>0</v>
      </c>
      <c r="F292" s="15">
        <f t="shared" si="4"/>
        <v>0</v>
      </c>
      <c r="G292" s="21"/>
      <c r="H292" s="21"/>
      <c r="I292" s="22"/>
    </row>
    <row r="293" spans="1:9">
      <c r="A293">
        <v>630030</v>
      </c>
      <c r="B293" t="s">
        <v>784</v>
      </c>
      <c r="C293" t="s">
        <v>156</v>
      </c>
      <c r="D293" t="s">
        <v>162</v>
      </c>
      <c r="E293" s="1">
        <v>2000</v>
      </c>
      <c r="F293" s="15">
        <f t="shared" si="4"/>
        <v>2000</v>
      </c>
      <c r="G293" s="21"/>
      <c r="H293" s="21"/>
      <c r="I293" s="22"/>
    </row>
    <row r="294" spans="1:9">
      <c r="A294">
        <v>630199</v>
      </c>
      <c r="B294" t="s">
        <v>786</v>
      </c>
      <c r="C294" t="s">
        <v>156</v>
      </c>
      <c r="D294" t="s">
        <v>169</v>
      </c>
      <c r="E294" s="1">
        <v>195318.78</v>
      </c>
      <c r="F294" s="15">
        <f t="shared" si="4"/>
        <v>195319</v>
      </c>
      <c r="G294" s="21"/>
      <c r="H294" s="21"/>
      <c r="I294" s="22"/>
    </row>
    <row r="295" spans="1:9">
      <c r="A295">
        <v>640000</v>
      </c>
      <c r="B295" t="s">
        <v>817</v>
      </c>
      <c r="C295" t="s">
        <v>156</v>
      </c>
      <c r="D295" t="s">
        <v>157</v>
      </c>
      <c r="E295">
        <v>0</v>
      </c>
      <c r="F295" s="15">
        <f t="shared" si="4"/>
        <v>0</v>
      </c>
      <c r="G295" s="21"/>
      <c r="H295" s="21"/>
      <c r="I295" s="22"/>
    </row>
    <row r="296" spans="1:9">
      <c r="A296">
        <v>640010</v>
      </c>
      <c r="B296" t="s">
        <v>819</v>
      </c>
      <c r="C296" t="s">
        <v>156</v>
      </c>
      <c r="D296" t="s">
        <v>162</v>
      </c>
      <c r="E296" s="1">
        <v>53125</v>
      </c>
      <c r="F296" s="15">
        <f t="shared" si="4"/>
        <v>53125</v>
      </c>
      <c r="G296" s="21"/>
      <c r="H296" s="21"/>
      <c r="I296" s="22"/>
    </row>
    <row r="297" spans="1:9">
      <c r="A297">
        <v>640099</v>
      </c>
      <c r="B297" t="s">
        <v>821</v>
      </c>
      <c r="C297" t="s">
        <v>156</v>
      </c>
      <c r="D297" t="s">
        <v>169</v>
      </c>
      <c r="E297" s="1">
        <v>53125</v>
      </c>
      <c r="F297" s="15">
        <f t="shared" si="4"/>
        <v>53125</v>
      </c>
      <c r="G297" s="21"/>
      <c r="H297" s="21"/>
      <c r="I297" s="22"/>
    </row>
    <row r="298" spans="1:9">
      <c r="A298">
        <v>640100</v>
      </c>
      <c r="B298" t="s">
        <v>824</v>
      </c>
      <c r="C298" t="s">
        <v>156</v>
      </c>
      <c r="D298" t="s">
        <v>157</v>
      </c>
      <c r="E298">
        <v>0</v>
      </c>
      <c r="F298" s="15">
        <f t="shared" si="4"/>
        <v>0</v>
      </c>
      <c r="G298" s="21"/>
      <c r="H298" s="21"/>
      <c r="I298" s="22"/>
    </row>
    <row r="299" spans="1:9">
      <c r="A299">
        <v>640110</v>
      </c>
      <c r="B299" t="s">
        <v>826</v>
      </c>
      <c r="C299" t="s">
        <v>156</v>
      </c>
      <c r="D299" t="s">
        <v>162</v>
      </c>
      <c r="E299" s="1">
        <v>26393.63</v>
      </c>
      <c r="F299" s="15">
        <f t="shared" si="4"/>
        <v>26394</v>
      </c>
      <c r="G299" s="21"/>
      <c r="H299" s="21"/>
      <c r="I299" s="22"/>
    </row>
    <row r="300" spans="1:9">
      <c r="A300">
        <v>640199</v>
      </c>
      <c r="B300" t="s">
        <v>828</v>
      </c>
      <c r="C300" t="s">
        <v>156</v>
      </c>
      <c r="D300" t="s">
        <v>169</v>
      </c>
      <c r="E300" s="1">
        <v>26393.63</v>
      </c>
      <c r="F300" s="15">
        <f t="shared" si="4"/>
        <v>26394</v>
      </c>
      <c r="G300" s="21"/>
      <c r="H300" s="21"/>
      <c r="I300" s="22"/>
    </row>
    <row r="301" spans="1:9">
      <c r="A301">
        <v>651199</v>
      </c>
      <c r="B301" t="s">
        <v>831</v>
      </c>
      <c r="C301" t="s">
        <v>156</v>
      </c>
      <c r="D301" t="s">
        <v>169</v>
      </c>
      <c r="E301" s="1">
        <v>4891946.59</v>
      </c>
      <c r="F301" s="15">
        <f t="shared" si="4"/>
        <v>4891947</v>
      </c>
      <c r="G301" s="21"/>
      <c r="H301" s="21"/>
      <c r="I301" s="22"/>
    </row>
    <row r="302" spans="1:9">
      <c r="A302">
        <v>661199</v>
      </c>
      <c r="B302" t="s">
        <v>842</v>
      </c>
      <c r="C302" t="s">
        <v>156</v>
      </c>
      <c r="D302" t="s">
        <v>169</v>
      </c>
      <c r="E302" s="1">
        <v>20176110.260000002</v>
      </c>
      <c r="F302" s="15">
        <f t="shared" si="4"/>
        <v>20176110</v>
      </c>
      <c r="G302" s="21"/>
      <c r="H302" s="21"/>
      <c r="I302" s="22"/>
    </row>
    <row r="303" spans="1:9">
      <c r="A303">
        <v>670000</v>
      </c>
      <c r="B303" t="s">
        <v>2262</v>
      </c>
      <c r="C303" t="s">
        <v>156</v>
      </c>
      <c r="D303" t="s">
        <v>169</v>
      </c>
      <c r="E303" s="1">
        <v>20176110.260000002</v>
      </c>
      <c r="F303" s="15">
        <f t="shared" si="4"/>
        <v>20176110</v>
      </c>
      <c r="G303" s="21"/>
      <c r="H303" s="21"/>
      <c r="I303" s="22"/>
    </row>
    <row r="304" spans="1:9">
      <c r="A304">
        <v>670100</v>
      </c>
      <c r="B304" t="s">
        <v>845</v>
      </c>
      <c r="C304" t="s">
        <v>156</v>
      </c>
      <c r="D304" t="s">
        <v>157</v>
      </c>
      <c r="E304">
        <v>0</v>
      </c>
      <c r="F304" s="15">
        <f t="shared" si="4"/>
        <v>0</v>
      </c>
      <c r="G304" s="21"/>
      <c r="H304" s="21"/>
      <c r="I304" s="22"/>
    </row>
    <row r="305" spans="1:10">
      <c r="A305">
        <v>670110</v>
      </c>
      <c r="B305" t="s">
        <v>2319</v>
      </c>
      <c r="C305" t="s">
        <v>156</v>
      </c>
      <c r="D305" t="s">
        <v>162</v>
      </c>
      <c r="E305" s="1">
        <v>1854164.89</v>
      </c>
      <c r="F305" s="15">
        <f t="shared" si="4"/>
        <v>1854165</v>
      </c>
      <c r="G305" s="21"/>
      <c r="H305" s="21"/>
      <c r="I305" s="22"/>
    </row>
    <row r="306" spans="1:10">
      <c r="A306">
        <v>670120</v>
      </c>
      <c r="B306" t="s">
        <v>849</v>
      </c>
      <c r="C306" t="s">
        <v>156</v>
      </c>
      <c r="D306" t="s">
        <v>162</v>
      </c>
      <c r="E306" s="1">
        <v>-23218.67</v>
      </c>
      <c r="F306" s="15">
        <f t="shared" si="4"/>
        <v>-23219</v>
      </c>
      <c r="G306" s="21"/>
      <c r="H306" s="21"/>
      <c r="I306" s="22"/>
    </row>
    <row r="307" spans="1:10">
      <c r="A307">
        <v>670199</v>
      </c>
      <c r="B307" t="s">
        <v>851</v>
      </c>
      <c r="C307" t="s">
        <v>156</v>
      </c>
      <c r="D307" t="s">
        <v>169</v>
      </c>
      <c r="E307" s="1">
        <v>1830946.22</v>
      </c>
      <c r="F307" s="15">
        <f t="shared" si="4"/>
        <v>1830946</v>
      </c>
      <c r="G307" s="21"/>
      <c r="H307" s="21"/>
      <c r="I307" s="22"/>
    </row>
    <row r="308" spans="1:10">
      <c r="A308">
        <v>670200</v>
      </c>
      <c r="B308" t="s">
        <v>854</v>
      </c>
      <c r="C308" t="s">
        <v>156</v>
      </c>
      <c r="D308" t="s">
        <v>157</v>
      </c>
      <c r="E308">
        <v>0</v>
      </c>
      <c r="F308" s="15">
        <f t="shared" si="4"/>
        <v>0</v>
      </c>
      <c r="G308" s="21"/>
      <c r="H308" s="21"/>
      <c r="I308" s="22"/>
    </row>
    <row r="309" spans="1:10">
      <c r="A309">
        <v>670210</v>
      </c>
      <c r="B309" t="s">
        <v>856</v>
      </c>
      <c r="C309" t="s">
        <v>156</v>
      </c>
      <c r="D309" t="s">
        <v>162</v>
      </c>
      <c r="E309">
        <v>0</v>
      </c>
      <c r="F309" s="15">
        <f t="shared" si="4"/>
        <v>0</v>
      </c>
      <c r="G309" s="21"/>
      <c r="H309" s="21"/>
      <c r="I309" s="22"/>
    </row>
    <row r="310" spans="1:10">
      <c r="A310">
        <v>670220</v>
      </c>
      <c r="B310" t="s">
        <v>2170</v>
      </c>
      <c r="C310" t="s">
        <v>156</v>
      </c>
      <c r="D310" t="s">
        <v>162</v>
      </c>
      <c r="E310">
        <v>0</v>
      </c>
      <c r="F310" s="15">
        <f t="shared" si="4"/>
        <v>0</v>
      </c>
      <c r="G310" s="21"/>
      <c r="H310" s="21"/>
      <c r="I310" s="22"/>
    </row>
    <row r="311" spans="1:10">
      <c r="A311">
        <v>670230</v>
      </c>
      <c r="B311" t="s">
        <v>860</v>
      </c>
      <c r="C311" t="s">
        <v>156</v>
      </c>
      <c r="D311" t="s">
        <v>162</v>
      </c>
      <c r="E311">
        <v>0</v>
      </c>
      <c r="F311" s="15">
        <f t="shared" si="4"/>
        <v>0</v>
      </c>
      <c r="G311" s="21"/>
      <c r="H311" s="21"/>
      <c r="I311" s="22"/>
    </row>
    <row r="312" spans="1:10">
      <c r="A312">
        <v>670298</v>
      </c>
      <c r="B312" t="s">
        <v>862</v>
      </c>
      <c r="C312" t="s">
        <v>156</v>
      </c>
      <c r="D312" t="s">
        <v>169</v>
      </c>
      <c r="E312">
        <v>0</v>
      </c>
      <c r="F312" s="15">
        <f t="shared" si="4"/>
        <v>0</v>
      </c>
      <c r="G312" s="21"/>
      <c r="H312" s="21"/>
      <c r="I312" s="22"/>
    </row>
    <row r="313" spans="1:10">
      <c r="A313">
        <v>670299</v>
      </c>
      <c r="B313" t="s">
        <v>862</v>
      </c>
      <c r="C313" t="s">
        <v>156</v>
      </c>
      <c r="D313" t="s">
        <v>598</v>
      </c>
      <c r="E313" s="1">
        <v>1830946.22</v>
      </c>
      <c r="F313" s="15">
        <f t="shared" si="4"/>
        <v>1830946</v>
      </c>
      <c r="G313" s="21"/>
      <c r="H313" s="21"/>
      <c r="I313" s="22"/>
    </row>
    <row r="314" spans="1:10">
      <c r="A314">
        <v>671099</v>
      </c>
      <c r="B314" t="s">
        <v>865</v>
      </c>
      <c r="C314" t="s">
        <v>156</v>
      </c>
      <c r="D314" t="s">
        <v>598</v>
      </c>
      <c r="E314" s="1">
        <v>22007056.48</v>
      </c>
      <c r="F314" s="15">
        <f>ROUND(E314,0)</f>
        <v>22007056</v>
      </c>
      <c r="G314" s="21"/>
      <c r="H314" s="21"/>
      <c r="I314" s="22"/>
      <c r="J314" s="3">
        <f>SUM(G2:G314)</f>
        <v>-4565672</v>
      </c>
    </row>
    <row r="315" spans="1:10">
      <c r="A315">
        <v>691199</v>
      </c>
      <c r="B315" t="s">
        <v>868</v>
      </c>
      <c r="C315" t="s">
        <v>156</v>
      </c>
      <c r="D315" t="s">
        <v>598</v>
      </c>
      <c r="E315" s="1">
        <v>4436315.3099999996</v>
      </c>
      <c r="F315" s="16">
        <f t="shared" si="4"/>
        <v>4436315</v>
      </c>
      <c r="G315" s="21"/>
      <c r="H315" s="21"/>
      <c r="I315" s="22"/>
      <c r="J315" s="3">
        <f>+F315+J314</f>
        <v>-129357</v>
      </c>
    </row>
    <row r="316" spans="1:10">
      <c r="A316">
        <v>700000</v>
      </c>
      <c r="B316" t="s">
        <v>871</v>
      </c>
      <c r="C316" t="s">
        <v>872</v>
      </c>
      <c r="D316" t="s">
        <v>157</v>
      </c>
      <c r="E316">
        <v>0</v>
      </c>
      <c r="F316" s="16">
        <f t="shared" si="4"/>
        <v>0</v>
      </c>
      <c r="G316" s="21"/>
      <c r="H316" s="21"/>
      <c r="I316" s="22"/>
    </row>
    <row r="317" spans="1:10">
      <c r="A317">
        <v>700001</v>
      </c>
      <c r="B317" t="s">
        <v>874</v>
      </c>
      <c r="C317" t="s">
        <v>872</v>
      </c>
      <c r="D317" t="s">
        <v>157</v>
      </c>
      <c r="E317">
        <v>0</v>
      </c>
      <c r="F317" s="16">
        <f t="shared" si="4"/>
        <v>0</v>
      </c>
      <c r="G317" s="21"/>
      <c r="H317" s="21"/>
      <c r="I317" s="22"/>
    </row>
    <row r="318" spans="1:10">
      <c r="A318">
        <v>700003</v>
      </c>
      <c r="B318" t="s">
        <v>876</v>
      </c>
      <c r="C318" t="s">
        <v>872</v>
      </c>
      <c r="D318" t="s">
        <v>157</v>
      </c>
      <c r="E318">
        <v>0</v>
      </c>
      <c r="F318" s="16">
        <f t="shared" si="4"/>
        <v>0</v>
      </c>
      <c r="G318" s="21"/>
      <c r="H318" s="21"/>
      <c r="I318" s="22"/>
    </row>
    <row r="319" spans="1:10">
      <c r="A319">
        <v>700010</v>
      </c>
      <c r="B319" t="s">
        <v>878</v>
      </c>
      <c r="C319" t="s">
        <v>872</v>
      </c>
      <c r="D319" t="s">
        <v>162</v>
      </c>
      <c r="E319" s="1">
        <v>28500000</v>
      </c>
      <c r="F319" s="16">
        <f t="shared" si="4"/>
        <v>28500000</v>
      </c>
      <c r="G319" s="21"/>
      <c r="H319" s="21"/>
      <c r="I319" s="22"/>
    </row>
    <row r="320" spans="1:10">
      <c r="A320">
        <v>700020</v>
      </c>
      <c r="B320" t="s">
        <v>880</v>
      </c>
      <c r="C320" t="s">
        <v>872</v>
      </c>
      <c r="D320" t="s">
        <v>162</v>
      </c>
      <c r="E320" s="1">
        <v>21494600</v>
      </c>
      <c r="F320" s="16">
        <f t="shared" si="4"/>
        <v>21494600</v>
      </c>
      <c r="G320" s="21"/>
      <c r="H320" s="21"/>
      <c r="I320" s="22"/>
    </row>
    <row r="321" spans="1:9">
      <c r="A321">
        <v>700030</v>
      </c>
      <c r="B321" t="s">
        <v>882</v>
      </c>
      <c r="C321" t="s">
        <v>872</v>
      </c>
      <c r="D321" t="s">
        <v>162</v>
      </c>
      <c r="E321" s="1">
        <v>4080000</v>
      </c>
      <c r="F321" s="16">
        <f t="shared" si="4"/>
        <v>4080000</v>
      </c>
      <c r="G321" s="21"/>
      <c r="H321" s="21"/>
      <c r="I321" s="22"/>
    </row>
    <row r="322" spans="1:9">
      <c r="A322">
        <v>700040</v>
      </c>
      <c r="B322" t="s">
        <v>884</v>
      </c>
      <c r="C322" t="s">
        <v>872</v>
      </c>
      <c r="D322" t="s">
        <v>162</v>
      </c>
      <c r="E322" s="1">
        <v>137241</v>
      </c>
      <c r="F322" s="16">
        <f t="shared" si="4"/>
        <v>137241</v>
      </c>
      <c r="G322" s="21"/>
      <c r="H322" s="21"/>
      <c r="I322" s="22"/>
    </row>
    <row r="323" spans="1:9">
      <c r="A323">
        <v>700050</v>
      </c>
      <c r="B323" t="s">
        <v>886</v>
      </c>
      <c r="C323" t="s">
        <v>872</v>
      </c>
      <c r="D323" t="s">
        <v>162</v>
      </c>
      <c r="E323" s="1">
        <v>140400</v>
      </c>
      <c r="F323" s="16">
        <f t="shared" si="4"/>
        <v>140400</v>
      </c>
      <c r="G323" s="21"/>
      <c r="H323" s="21"/>
      <c r="I323" s="22"/>
    </row>
    <row r="324" spans="1:9">
      <c r="A324">
        <v>700060</v>
      </c>
      <c r="B324" t="s">
        <v>888</v>
      </c>
      <c r="C324" t="s">
        <v>872</v>
      </c>
      <c r="D324" t="s">
        <v>162</v>
      </c>
      <c r="E324" s="1">
        <v>200000</v>
      </c>
      <c r="F324" s="16">
        <f t="shared" si="4"/>
        <v>200000</v>
      </c>
      <c r="G324" s="21"/>
      <c r="H324" s="21"/>
      <c r="I324" s="22"/>
    </row>
    <row r="325" spans="1:9">
      <c r="A325">
        <v>700199</v>
      </c>
      <c r="B325" t="s">
        <v>890</v>
      </c>
      <c r="C325" t="s">
        <v>872</v>
      </c>
      <c r="D325" t="s">
        <v>169</v>
      </c>
      <c r="E325" s="1">
        <v>54552241</v>
      </c>
      <c r="F325" s="16">
        <f t="shared" ref="F325:F388" si="5">ROUND(E325,0)</f>
        <v>54552241</v>
      </c>
      <c r="G325" s="21"/>
      <c r="H325" s="21"/>
      <c r="I325" s="22"/>
    </row>
    <row r="326" spans="1:9">
      <c r="A326">
        <v>710000</v>
      </c>
      <c r="B326" t="s">
        <v>893</v>
      </c>
      <c r="C326" t="s">
        <v>872</v>
      </c>
      <c r="D326" t="s">
        <v>157</v>
      </c>
      <c r="E326">
        <v>0</v>
      </c>
      <c r="F326" s="16">
        <f t="shared" si="5"/>
        <v>0</v>
      </c>
      <c r="G326" s="21"/>
      <c r="H326" s="21"/>
      <c r="I326" s="22"/>
    </row>
    <row r="327" spans="1:9">
      <c r="A327">
        <v>710010</v>
      </c>
      <c r="B327" t="s">
        <v>895</v>
      </c>
      <c r="C327" t="s">
        <v>872</v>
      </c>
      <c r="D327" t="s">
        <v>162</v>
      </c>
      <c r="E327">
        <v>0</v>
      </c>
      <c r="F327" s="16">
        <f t="shared" si="5"/>
        <v>0</v>
      </c>
      <c r="G327" s="21"/>
      <c r="H327" s="21"/>
      <c r="I327" s="22"/>
    </row>
    <row r="328" spans="1:9">
      <c r="A328">
        <v>710099</v>
      </c>
      <c r="B328" t="s">
        <v>897</v>
      </c>
      <c r="C328" t="s">
        <v>872</v>
      </c>
      <c r="D328" t="s">
        <v>169</v>
      </c>
      <c r="E328">
        <v>0</v>
      </c>
      <c r="F328" s="16">
        <f t="shared" si="5"/>
        <v>0</v>
      </c>
      <c r="G328" s="21"/>
      <c r="H328" s="21"/>
      <c r="I328" s="22"/>
    </row>
    <row r="329" spans="1:9">
      <c r="A329">
        <v>720000</v>
      </c>
      <c r="B329" t="s">
        <v>900</v>
      </c>
      <c r="C329" t="s">
        <v>872</v>
      </c>
      <c r="D329" t="s">
        <v>157</v>
      </c>
      <c r="E329">
        <v>0</v>
      </c>
      <c r="F329" s="16">
        <f t="shared" si="5"/>
        <v>0</v>
      </c>
      <c r="G329" s="21"/>
      <c r="H329" s="21"/>
      <c r="I329" s="22"/>
    </row>
    <row r="330" spans="1:9">
      <c r="A330">
        <v>720010</v>
      </c>
      <c r="B330" t="s">
        <v>902</v>
      </c>
      <c r="C330" t="s">
        <v>872</v>
      </c>
      <c r="D330" t="s">
        <v>162</v>
      </c>
      <c r="E330" s="1">
        <v>3366400</v>
      </c>
      <c r="F330" s="16">
        <f t="shared" si="5"/>
        <v>3366400</v>
      </c>
      <c r="G330" s="21"/>
      <c r="H330" s="21"/>
      <c r="I330" s="22"/>
    </row>
    <row r="331" spans="1:9">
      <c r="A331">
        <v>720020</v>
      </c>
      <c r="B331" t="s">
        <v>2147</v>
      </c>
      <c r="C331" t="s">
        <v>872</v>
      </c>
      <c r="D331" t="s">
        <v>162</v>
      </c>
      <c r="E331" s="1">
        <v>42926.5</v>
      </c>
      <c r="F331" s="16">
        <f t="shared" si="5"/>
        <v>42927</v>
      </c>
      <c r="G331" s="21"/>
      <c r="H331" s="21"/>
      <c r="I331" s="22"/>
    </row>
    <row r="332" spans="1:9">
      <c r="A332">
        <v>720030</v>
      </c>
      <c r="B332" t="s">
        <v>906</v>
      </c>
      <c r="C332" t="s">
        <v>872</v>
      </c>
      <c r="D332" t="s">
        <v>162</v>
      </c>
      <c r="E332" s="1">
        <v>8250</v>
      </c>
      <c r="F332" s="16">
        <f t="shared" si="5"/>
        <v>8250</v>
      </c>
      <c r="G332" s="21"/>
      <c r="H332" s="21"/>
      <c r="I332" s="22"/>
    </row>
    <row r="333" spans="1:9">
      <c r="A333">
        <v>720040</v>
      </c>
      <c r="B333" t="s">
        <v>908</v>
      </c>
      <c r="C333" t="s">
        <v>872</v>
      </c>
      <c r="D333" t="s">
        <v>162</v>
      </c>
      <c r="E333" s="1">
        <v>3127559</v>
      </c>
      <c r="F333" s="16">
        <f t="shared" si="5"/>
        <v>3127559</v>
      </c>
      <c r="G333" s="21">
        <v>1820853</v>
      </c>
      <c r="H333" s="21"/>
      <c r="I333" s="22"/>
    </row>
    <row r="334" spans="1:9">
      <c r="A334">
        <v>720050</v>
      </c>
      <c r="B334" t="s">
        <v>910</v>
      </c>
      <c r="C334" t="s">
        <v>872</v>
      </c>
      <c r="D334" t="s">
        <v>162</v>
      </c>
      <c r="E334" s="1">
        <v>68166</v>
      </c>
      <c r="F334" s="16">
        <f t="shared" si="5"/>
        <v>68166</v>
      </c>
      <c r="G334" s="21">
        <v>13265</v>
      </c>
      <c r="H334" s="21"/>
      <c r="I334" s="22"/>
    </row>
    <row r="335" spans="1:9">
      <c r="A335">
        <v>720198</v>
      </c>
      <c r="B335" t="s">
        <v>914</v>
      </c>
      <c r="C335" t="s">
        <v>872</v>
      </c>
      <c r="D335" t="s">
        <v>169</v>
      </c>
      <c r="E335" s="1">
        <v>6613301.5</v>
      </c>
      <c r="F335" s="16">
        <f t="shared" si="5"/>
        <v>6613302</v>
      </c>
      <c r="G335" s="21"/>
      <c r="H335" s="21"/>
      <c r="I335" s="22"/>
    </row>
    <row r="336" spans="1:9">
      <c r="A336">
        <v>720199</v>
      </c>
      <c r="B336" t="s">
        <v>917</v>
      </c>
      <c r="C336" t="s">
        <v>872</v>
      </c>
      <c r="D336" t="s">
        <v>169</v>
      </c>
      <c r="E336" s="1">
        <v>61165542.5</v>
      </c>
      <c r="F336" s="16">
        <f t="shared" si="5"/>
        <v>61165543</v>
      </c>
      <c r="G336" s="21"/>
      <c r="H336" s="21"/>
      <c r="I336" s="22"/>
    </row>
    <row r="337" spans="1:10">
      <c r="A337">
        <v>730000</v>
      </c>
      <c r="B337" t="s">
        <v>920</v>
      </c>
      <c r="C337" t="s">
        <v>872</v>
      </c>
      <c r="D337" t="s">
        <v>157</v>
      </c>
      <c r="E337">
        <v>0</v>
      </c>
      <c r="F337" s="16">
        <f t="shared" si="5"/>
        <v>0</v>
      </c>
      <c r="G337" s="21"/>
      <c r="H337" s="21"/>
      <c r="I337" s="22"/>
    </row>
    <row r="338" spans="1:10">
      <c r="A338">
        <v>740000</v>
      </c>
      <c r="B338" t="s">
        <v>922</v>
      </c>
      <c r="C338" t="s">
        <v>872</v>
      </c>
      <c r="D338" t="s">
        <v>157</v>
      </c>
      <c r="E338">
        <v>0</v>
      </c>
      <c r="F338" s="16">
        <f t="shared" si="5"/>
        <v>0</v>
      </c>
      <c r="G338" s="21"/>
      <c r="H338" s="21"/>
      <c r="I338" s="22"/>
    </row>
    <row r="339" spans="1:10">
      <c r="A339">
        <v>740010</v>
      </c>
      <c r="B339" t="s">
        <v>924</v>
      </c>
      <c r="C339" t="s">
        <v>872</v>
      </c>
      <c r="D339" t="s">
        <v>162</v>
      </c>
      <c r="E339" s="1">
        <v>359298.01</v>
      </c>
      <c r="F339" s="16">
        <f t="shared" si="5"/>
        <v>359298</v>
      </c>
      <c r="G339" s="21">
        <v>43020</v>
      </c>
      <c r="H339" s="21">
        <v>7303</v>
      </c>
      <c r="I339" s="22"/>
      <c r="J339" s="3">
        <f>+F339+F567+F582+G339+H339</f>
        <v>416341</v>
      </c>
    </row>
    <row r="340" spans="1:10">
      <c r="A340">
        <v>740020</v>
      </c>
      <c r="B340" t="s">
        <v>926</v>
      </c>
      <c r="C340" t="s">
        <v>872</v>
      </c>
      <c r="D340" t="s">
        <v>162</v>
      </c>
      <c r="E340">
        <v>0</v>
      </c>
      <c r="F340" s="16">
        <f t="shared" si="5"/>
        <v>0</v>
      </c>
      <c r="G340" s="21"/>
      <c r="H340" s="21"/>
      <c r="I340" s="22"/>
    </row>
    <row r="341" spans="1:10">
      <c r="A341">
        <v>740030</v>
      </c>
      <c r="B341" t="s">
        <v>928</v>
      </c>
      <c r="C341" t="s">
        <v>872</v>
      </c>
      <c r="D341" t="s">
        <v>162</v>
      </c>
      <c r="E341">
        <v>0</v>
      </c>
      <c r="F341" s="16">
        <f t="shared" si="5"/>
        <v>0</v>
      </c>
      <c r="G341" s="21"/>
      <c r="H341" s="21"/>
      <c r="I341" s="22"/>
    </row>
    <row r="342" spans="1:10">
      <c r="A342">
        <v>740040</v>
      </c>
      <c r="B342" t="s">
        <v>930</v>
      </c>
      <c r="C342" t="s">
        <v>872</v>
      </c>
      <c r="D342" t="s">
        <v>162</v>
      </c>
      <c r="E342">
        <v>0</v>
      </c>
      <c r="F342" s="16">
        <f t="shared" si="5"/>
        <v>0</v>
      </c>
      <c r="G342" s="21"/>
      <c r="H342" s="21"/>
      <c r="I342" s="22"/>
    </row>
    <row r="343" spans="1:10">
      <c r="A343">
        <v>740050</v>
      </c>
      <c r="B343" t="s">
        <v>932</v>
      </c>
      <c r="C343" t="s">
        <v>872</v>
      </c>
      <c r="D343" t="s">
        <v>162</v>
      </c>
      <c r="E343" s="1">
        <v>227460.96</v>
      </c>
      <c r="F343" s="16">
        <f t="shared" si="5"/>
        <v>227461</v>
      </c>
      <c r="G343" s="21"/>
      <c r="H343" s="21"/>
      <c r="I343" s="22"/>
    </row>
    <row r="344" spans="1:10">
      <c r="A344">
        <v>740060</v>
      </c>
      <c r="B344" t="s">
        <v>2279</v>
      </c>
      <c r="C344" t="s">
        <v>872</v>
      </c>
      <c r="D344" t="s">
        <v>162</v>
      </c>
      <c r="E344">
        <v>0</v>
      </c>
      <c r="F344" s="16">
        <f t="shared" si="5"/>
        <v>0</v>
      </c>
      <c r="G344" s="21"/>
      <c r="H344" s="21"/>
      <c r="I344" s="22"/>
    </row>
    <row r="345" spans="1:10">
      <c r="A345">
        <v>740070</v>
      </c>
      <c r="B345" t="s">
        <v>934</v>
      </c>
      <c r="C345" t="s">
        <v>872</v>
      </c>
      <c r="D345" t="s">
        <v>162</v>
      </c>
      <c r="E345">
        <v>0</v>
      </c>
      <c r="F345" s="16">
        <f t="shared" si="5"/>
        <v>0</v>
      </c>
      <c r="G345" s="21"/>
      <c r="H345" s="21"/>
      <c r="I345" s="22"/>
    </row>
    <row r="346" spans="1:10">
      <c r="A346">
        <v>740090</v>
      </c>
      <c r="B346" t="s">
        <v>2203</v>
      </c>
      <c r="C346" t="s">
        <v>872</v>
      </c>
      <c r="D346" t="s">
        <v>162</v>
      </c>
      <c r="E346" s="1">
        <v>-49604.12</v>
      </c>
      <c r="F346" s="16">
        <f t="shared" si="5"/>
        <v>-49604</v>
      </c>
      <c r="G346" s="21"/>
      <c r="H346" s="21"/>
      <c r="I346" s="22"/>
    </row>
    <row r="347" spans="1:10">
      <c r="A347">
        <v>740100</v>
      </c>
      <c r="B347" t="s">
        <v>2171</v>
      </c>
      <c r="C347" t="s">
        <v>872</v>
      </c>
      <c r="D347" t="s">
        <v>162</v>
      </c>
      <c r="E347">
        <v>0</v>
      </c>
      <c r="F347" s="16">
        <f t="shared" si="5"/>
        <v>0</v>
      </c>
      <c r="G347" s="21"/>
      <c r="H347" s="21"/>
      <c r="I347" s="22"/>
    </row>
    <row r="348" spans="1:10">
      <c r="A348">
        <v>740199</v>
      </c>
      <c r="B348" t="s">
        <v>938</v>
      </c>
      <c r="C348" t="s">
        <v>872</v>
      </c>
      <c r="D348" t="s">
        <v>169</v>
      </c>
      <c r="E348" s="1">
        <v>537154.85</v>
      </c>
      <c r="F348" s="16">
        <f t="shared" si="5"/>
        <v>537155</v>
      </c>
      <c r="G348" s="21"/>
      <c r="H348" s="21"/>
      <c r="I348" s="22"/>
    </row>
    <row r="349" spans="1:10">
      <c r="A349">
        <v>750000</v>
      </c>
      <c r="B349" t="s">
        <v>941</v>
      </c>
      <c r="C349" t="s">
        <v>872</v>
      </c>
      <c r="D349" t="s">
        <v>157</v>
      </c>
      <c r="E349">
        <v>0</v>
      </c>
      <c r="F349" s="16">
        <f t="shared" si="5"/>
        <v>0</v>
      </c>
      <c r="G349" s="21"/>
      <c r="H349" s="21"/>
      <c r="I349" s="22"/>
    </row>
    <row r="350" spans="1:10">
      <c r="A350">
        <v>750010</v>
      </c>
      <c r="B350" t="s">
        <v>943</v>
      </c>
      <c r="C350" t="s">
        <v>872</v>
      </c>
      <c r="D350" t="s">
        <v>162</v>
      </c>
      <c r="E350" s="1">
        <v>34000</v>
      </c>
      <c r="F350" s="16">
        <f t="shared" si="5"/>
        <v>34000</v>
      </c>
      <c r="G350" s="21"/>
      <c r="H350" s="21"/>
      <c r="I350" s="22"/>
    </row>
    <row r="351" spans="1:10">
      <c r="A351">
        <v>750100</v>
      </c>
      <c r="B351" t="s">
        <v>2204</v>
      </c>
      <c r="C351" t="s">
        <v>872</v>
      </c>
      <c r="D351" t="s">
        <v>162</v>
      </c>
      <c r="E351">
        <v>0</v>
      </c>
      <c r="F351" s="16">
        <f t="shared" si="5"/>
        <v>0</v>
      </c>
      <c r="G351" s="21"/>
      <c r="H351" s="21"/>
      <c r="I351" s="22"/>
    </row>
    <row r="352" spans="1:10">
      <c r="A352">
        <v>750110</v>
      </c>
      <c r="B352" t="s">
        <v>947</v>
      </c>
      <c r="C352" t="s">
        <v>872</v>
      </c>
      <c r="D352" t="s">
        <v>162</v>
      </c>
      <c r="E352">
        <v>0</v>
      </c>
      <c r="F352" s="16">
        <f t="shared" si="5"/>
        <v>0</v>
      </c>
      <c r="G352" s="21"/>
      <c r="H352" s="21"/>
      <c r="I352" s="22"/>
    </row>
    <row r="353" spans="1:9">
      <c r="A353">
        <v>750120</v>
      </c>
      <c r="B353" t="s">
        <v>949</v>
      </c>
      <c r="C353" t="s">
        <v>872</v>
      </c>
      <c r="D353" t="s">
        <v>162</v>
      </c>
      <c r="E353" s="1">
        <v>11923.77</v>
      </c>
      <c r="F353" s="16" t="b">
        <f>'Råbalance 2012'!G5=ROUND(E353,0)</f>
        <v>0</v>
      </c>
      <c r="G353" s="21"/>
      <c r="H353" s="21"/>
      <c r="I353" s="22"/>
    </row>
    <row r="354" spans="1:9">
      <c r="A354">
        <v>750130</v>
      </c>
      <c r="B354" t="s">
        <v>951</v>
      </c>
      <c r="C354" t="s">
        <v>872</v>
      </c>
      <c r="D354" t="s">
        <v>162</v>
      </c>
      <c r="E354" s="1">
        <v>3000</v>
      </c>
      <c r="F354" s="16">
        <f t="shared" si="5"/>
        <v>3000</v>
      </c>
      <c r="G354" s="21"/>
      <c r="H354" s="21"/>
      <c r="I354" s="22"/>
    </row>
    <row r="355" spans="1:9">
      <c r="A355">
        <v>750199</v>
      </c>
      <c r="B355" t="s">
        <v>953</v>
      </c>
      <c r="C355" t="s">
        <v>872</v>
      </c>
      <c r="D355" t="s">
        <v>169</v>
      </c>
      <c r="E355" s="1">
        <v>48923.77</v>
      </c>
      <c r="F355" s="16">
        <f t="shared" si="5"/>
        <v>48924</v>
      </c>
      <c r="G355" s="21"/>
      <c r="H355" s="21"/>
      <c r="I355" s="22"/>
    </row>
    <row r="356" spans="1:9">
      <c r="A356">
        <v>750300</v>
      </c>
      <c r="B356" t="s">
        <v>956</v>
      </c>
      <c r="C356" t="s">
        <v>872</v>
      </c>
      <c r="D356" t="s">
        <v>157</v>
      </c>
      <c r="E356">
        <v>0</v>
      </c>
      <c r="F356" s="16">
        <f t="shared" si="5"/>
        <v>0</v>
      </c>
      <c r="G356" s="21"/>
      <c r="H356" s="21"/>
      <c r="I356" s="22"/>
    </row>
    <row r="357" spans="1:9">
      <c r="A357">
        <v>750310</v>
      </c>
      <c r="B357" t="s">
        <v>958</v>
      </c>
      <c r="C357" t="s">
        <v>872</v>
      </c>
      <c r="D357" t="s">
        <v>162</v>
      </c>
      <c r="E357" s="1">
        <v>26705</v>
      </c>
      <c r="F357" s="16">
        <f t="shared" si="5"/>
        <v>26705</v>
      </c>
      <c r="G357" s="21"/>
      <c r="H357" s="21"/>
      <c r="I357" s="22"/>
    </row>
    <row r="358" spans="1:9">
      <c r="A358">
        <v>750320</v>
      </c>
      <c r="B358" t="s">
        <v>960</v>
      </c>
      <c r="C358" t="s">
        <v>872</v>
      </c>
      <c r="D358" t="s">
        <v>162</v>
      </c>
      <c r="E358" s="1">
        <v>576787.76</v>
      </c>
      <c r="F358" s="16">
        <f t="shared" si="5"/>
        <v>576788</v>
      </c>
      <c r="G358" s="21">
        <v>-14064</v>
      </c>
      <c r="H358" s="21"/>
      <c r="I358" s="22"/>
    </row>
    <row r="359" spans="1:9">
      <c r="A359">
        <v>750330</v>
      </c>
      <c r="B359" t="s">
        <v>962</v>
      </c>
      <c r="C359" t="s">
        <v>872</v>
      </c>
      <c r="D359" t="s">
        <v>162</v>
      </c>
      <c r="E359" s="1">
        <v>177295.51</v>
      </c>
      <c r="F359" s="16">
        <f t="shared" si="5"/>
        <v>177296</v>
      </c>
      <c r="G359" s="21"/>
      <c r="H359" s="21"/>
      <c r="I359" s="22"/>
    </row>
    <row r="360" spans="1:9">
      <c r="A360">
        <v>750340</v>
      </c>
      <c r="B360" t="s">
        <v>964</v>
      </c>
      <c r="C360" t="s">
        <v>872</v>
      </c>
      <c r="D360" t="s">
        <v>162</v>
      </c>
      <c r="E360">
        <v>0</v>
      </c>
      <c r="F360" s="16">
        <f t="shared" si="5"/>
        <v>0</v>
      </c>
      <c r="G360" s="21"/>
      <c r="H360" s="21"/>
      <c r="I360" s="22"/>
    </row>
    <row r="361" spans="1:9">
      <c r="A361">
        <v>750359</v>
      </c>
      <c r="B361" t="s">
        <v>966</v>
      </c>
      <c r="C361" t="s">
        <v>872</v>
      </c>
      <c r="D361" t="s">
        <v>169</v>
      </c>
      <c r="E361" s="1">
        <v>780788.27</v>
      </c>
      <c r="F361" s="16">
        <f t="shared" si="5"/>
        <v>780788</v>
      </c>
      <c r="G361" s="21"/>
      <c r="H361" s="21"/>
      <c r="I361" s="22"/>
    </row>
    <row r="362" spans="1:9">
      <c r="A362">
        <v>750399</v>
      </c>
      <c r="B362" t="s">
        <v>938</v>
      </c>
      <c r="C362" t="s">
        <v>872</v>
      </c>
      <c r="D362" t="s">
        <v>169</v>
      </c>
      <c r="E362" s="1">
        <v>1366866.89</v>
      </c>
      <c r="F362" s="16">
        <f t="shared" si="5"/>
        <v>1366867</v>
      </c>
      <c r="G362" s="21"/>
      <c r="H362" s="21"/>
      <c r="I362" s="22"/>
    </row>
    <row r="363" spans="1:9">
      <c r="A363">
        <v>760000</v>
      </c>
      <c r="B363" t="s">
        <v>971</v>
      </c>
      <c r="C363" t="s">
        <v>872</v>
      </c>
      <c r="D363" t="s">
        <v>157</v>
      </c>
      <c r="E363">
        <v>0</v>
      </c>
      <c r="F363" s="16">
        <f t="shared" si="5"/>
        <v>0</v>
      </c>
      <c r="G363" s="21"/>
      <c r="H363" s="21"/>
      <c r="I363" s="22"/>
    </row>
    <row r="364" spans="1:9">
      <c r="A364">
        <v>760010</v>
      </c>
      <c r="B364" t="s">
        <v>973</v>
      </c>
      <c r="C364" t="s">
        <v>872</v>
      </c>
      <c r="D364" t="s">
        <v>162</v>
      </c>
      <c r="E364" s="1">
        <v>5627235.5499999998</v>
      </c>
      <c r="F364" s="16">
        <f t="shared" si="5"/>
        <v>5627236</v>
      </c>
      <c r="G364" s="21"/>
      <c r="H364" s="21"/>
      <c r="I364" s="22"/>
    </row>
    <row r="365" spans="1:9">
      <c r="A365">
        <v>760020</v>
      </c>
      <c r="B365" t="s">
        <v>928</v>
      </c>
      <c r="C365" t="s">
        <v>872</v>
      </c>
      <c r="D365" t="s">
        <v>162</v>
      </c>
      <c r="E365" s="1">
        <v>8098.87</v>
      </c>
      <c r="F365" s="16">
        <f t="shared" si="5"/>
        <v>8099</v>
      </c>
      <c r="G365" s="21"/>
      <c r="H365" s="21"/>
      <c r="I365" s="22"/>
    </row>
    <row r="366" spans="1:9">
      <c r="A366">
        <v>760030</v>
      </c>
      <c r="B366" t="s">
        <v>2280</v>
      </c>
      <c r="C366" t="s">
        <v>872</v>
      </c>
      <c r="D366" t="s">
        <v>162</v>
      </c>
      <c r="E366">
        <v>0</v>
      </c>
      <c r="F366" s="16">
        <f t="shared" si="5"/>
        <v>0</v>
      </c>
      <c r="G366" s="21"/>
      <c r="H366" s="21"/>
      <c r="I366" s="22"/>
    </row>
    <row r="367" spans="1:9">
      <c r="A367">
        <v>760040</v>
      </c>
      <c r="B367" t="s">
        <v>979</v>
      </c>
      <c r="C367" t="s">
        <v>872</v>
      </c>
      <c r="D367" t="s">
        <v>162</v>
      </c>
      <c r="E367">
        <v>-603.70000000000005</v>
      </c>
      <c r="F367" s="16">
        <f t="shared" si="5"/>
        <v>-604</v>
      </c>
      <c r="G367" s="21"/>
      <c r="H367" s="21"/>
      <c r="I367" s="22"/>
    </row>
    <row r="368" spans="1:9">
      <c r="A368">
        <v>760050</v>
      </c>
      <c r="B368" t="s">
        <v>981</v>
      </c>
      <c r="C368" t="s">
        <v>872</v>
      </c>
      <c r="D368" t="s">
        <v>162</v>
      </c>
      <c r="E368">
        <v>0</v>
      </c>
      <c r="F368" s="16">
        <f t="shared" si="5"/>
        <v>0</v>
      </c>
      <c r="G368" s="21"/>
      <c r="H368" s="21"/>
      <c r="I368" s="22"/>
    </row>
    <row r="369" spans="1:10">
      <c r="A369">
        <v>760060</v>
      </c>
      <c r="B369" t="s">
        <v>983</v>
      </c>
      <c r="C369" t="s">
        <v>872</v>
      </c>
      <c r="D369" t="s">
        <v>162</v>
      </c>
      <c r="E369">
        <v>86.3</v>
      </c>
      <c r="F369" s="16">
        <f t="shared" si="5"/>
        <v>86</v>
      </c>
      <c r="G369" s="21"/>
      <c r="H369" s="21"/>
      <c r="I369" s="22"/>
    </row>
    <row r="370" spans="1:10">
      <c r="A370">
        <v>760100</v>
      </c>
      <c r="B370" t="s">
        <v>985</v>
      </c>
      <c r="C370" t="s">
        <v>872</v>
      </c>
      <c r="D370" t="s">
        <v>162</v>
      </c>
      <c r="E370" s="1">
        <v>14818.56</v>
      </c>
      <c r="F370" s="16">
        <f t="shared" si="5"/>
        <v>14819</v>
      </c>
      <c r="G370" s="21"/>
      <c r="H370" s="21"/>
      <c r="I370" s="22"/>
    </row>
    <row r="371" spans="1:10">
      <c r="A371">
        <v>760110</v>
      </c>
      <c r="B371" t="s">
        <v>987</v>
      </c>
      <c r="C371" t="s">
        <v>872</v>
      </c>
      <c r="D371" t="s">
        <v>162</v>
      </c>
      <c r="E371" s="1">
        <v>8046</v>
      </c>
      <c r="F371" s="16">
        <f t="shared" si="5"/>
        <v>8046</v>
      </c>
      <c r="G371" s="21"/>
      <c r="H371" s="21"/>
      <c r="I371" s="22"/>
    </row>
    <row r="372" spans="1:10">
      <c r="A372">
        <v>760120</v>
      </c>
      <c r="B372" t="s">
        <v>2281</v>
      </c>
      <c r="C372" t="s">
        <v>872</v>
      </c>
      <c r="D372" t="s">
        <v>162</v>
      </c>
      <c r="E372" s="1">
        <v>1010380.14</v>
      </c>
      <c r="F372" s="16">
        <f t="shared" si="5"/>
        <v>1010380</v>
      </c>
      <c r="G372" s="21"/>
      <c r="H372" s="21"/>
      <c r="I372" s="22"/>
    </row>
    <row r="373" spans="1:10">
      <c r="A373">
        <v>760130</v>
      </c>
      <c r="B373" t="s">
        <v>2282</v>
      </c>
      <c r="C373" t="s">
        <v>872</v>
      </c>
      <c r="D373" t="s">
        <v>162</v>
      </c>
      <c r="E373">
        <v>0</v>
      </c>
      <c r="F373" s="16">
        <f t="shared" si="5"/>
        <v>0</v>
      </c>
      <c r="G373" s="21"/>
      <c r="H373" s="21"/>
      <c r="I373" s="22"/>
    </row>
    <row r="374" spans="1:10">
      <c r="A374">
        <v>760140</v>
      </c>
      <c r="B374" t="s">
        <v>993</v>
      </c>
      <c r="C374" t="s">
        <v>872</v>
      </c>
      <c r="D374" t="s">
        <v>162</v>
      </c>
      <c r="E374">
        <v>-5.42</v>
      </c>
      <c r="F374" s="16">
        <f t="shared" si="5"/>
        <v>-5</v>
      </c>
      <c r="G374" s="21"/>
      <c r="H374" s="21"/>
      <c r="I374" s="22"/>
    </row>
    <row r="375" spans="1:10">
      <c r="A375">
        <v>760199</v>
      </c>
      <c r="B375" t="s">
        <v>1003</v>
      </c>
      <c r="C375" t="s">
        <v>872</v>
      </c>
      <c r="D375" t="s">
        <v>169</v>
      </c>
      <c r="E375" s="1">
        <v>6668056.2999999998</v>
      </c>
      <c r="F375" s="16">
        <f t="shared" si="5"/>
        <v>6668056</v>
      </c>
      <c r="G375" s="21"/>
      <c r="H375" s="21"/>
      <c r="I375" s="22"/>
    </row>
    <row r="376" spans="1:10">
      <c r="A376">
        <v>799999</v>
      </c>
      <c r="B376" t="s">
        <v>1006</v>
      </c>
      <c r="C376" t="s">
        <v>872</v>
      </c>
      <c r="D376" t="s">
        <v>169</v>
      </c>
      <c r="E376" s="1">
        <v>69200465.689999998</v>
      </c>
      <c r="F376" s="16">
        <f t="shared" si="5"/>
        <v>69200466</v>
      </c>
      <c r="G376" s="21"/>
      <c r="H376" s="21"/>
      <c r="I376" s="22"/>
    </row>
    <row r="377" spans="1:10">
      <c r="A377">
        <v>800000</v>
      </c>
      <c r="B377" t="s">
        <v>1009</v>
      </c>
      <c r="C377" t="s">
        <v>872</v>
      </c>
      <c r="D377" t="s">
        <v>157</v>
      </c>
      <c r="E377">
        <v>0</v>
      </c>
      <c r="F377" s="16">
        <f t="shared" si="5"/>
        <v>0</v>
      </c>
      <c r="G377" s="21"/>
      <c r="H377" s="21"/>
      <c r="I377" s="22"/>
    </row>
    <row r="378" spans="1:10">
      <c r="A378">
        <v>800100</v>
      </c>
      <c r="B378" t="s">
        <v>1011</v>
      </c>
      <c r="C378" t="s">
        <v>872</v>
      </c>
      <c r="D378" t="s">
        <v>157</v>
      </c>
      <c r="E378">
        <v>0</v>
      </c>
      <c r="F378" s="16">
        <f t="shared" si="5"/>
        <v>0</v>
      </c>
      <c r="G378" s="21"/>
      <c r="H378" s="21"/>
      <c r="I378" s="22"/>
    </row>
    <row r="379" spans="1:10">
      <c r="A379">
        <v>800110</v>
      </c>
      <c r="B379" t="s">
        <v>1013</v>
      </c>
      <c r="C379" t="s">
        <v>872</v>
      </c>
      <c r="D379" t="s">
        <v>157</v>
      </c>
      <c r="E379">
        <v>0</v>
      </c>
      <c r="F379" s="16">
        <f t="shared" si="5"/>
        <v>0</v>
      </c>
      <c r="G379" s="21"/>
      <c r="H379" s="21"/>
      <c r="I379" s="22"/>
    </row>
    <row r="380" spans="1:10">
      <c r="A380">
        <v>800120</v>
      </c>
      <c r="B380" t="s">
        <v>1015</v>
      </c>
      <c r="C380" t="s">
        <v>872</v>
      </c>
      <c r="D380" t="s">
        <v>162</v>
      </c>
      <c r="E380" s="1">
        <v>-23804973.800000001</v>
      </c>
      <c r="F380" s="16">
        <f t="shared" si="5"/>
        <v>-23804974</v>
      </c>
      <c r="G380" s="21"/>
      <c r="H380" s="21"/>
      <c r="I380" s="22"/>
      <c r="J380" s="3">
        <f>+F380+F383+F384+J315</f>
        <v>-25519470</v>
      </c>
    </row>
    <row r="381" spans="1:10">
      <c r="A381">
        <v>800130</v>
      </c>
      <c r="B381" t="s">
        <v>106</v>
      </c>
      <c r="C381" t="s">
        <v>872</v>
      </c>
      <c r="D381" t="s">
        <v>598</v>
      </c>
      <c r="E381" s="1">
        <v>4436315.3099999996</v>
      </c>
      <c r="F381" s="16">
        <f t="shared" si="5"/>
        <v>4436315</v>
      </c>
      <c r="G381" s="21"/>
      <c r="H381" s="21"/>
      <c r="I381" s="22"/>
    </row>
    <row r="382" spans="1:10">
      <c r="A382">
        <v>800140</v>
      </c>
      <c r="B382" t="s">
        <v>1022</v>
      </c>
      <c r="C382" t="s">
        <v>872</v>
      </c>
      <c r="D382" t="s">
        <v>162</v>
      </c>
      <c r="E382" s="1">
        <v>-20182186.149999999</v>
      </c>
      <c r="F382" s="16">
        <f t="shared" si="5"/>
        <v>-20182186</v>
      </c>
      <c r="G382" s="21"/>
      <c r="H382" s="21"/>
      <c r="I382" s="22"/>
    </row>
    <row r="383" spans="1:10">
      <c r="A383">
        <v>800150</v>
      </c>
      <c r="B383" t="s">
        <v>1020</v>
      </c>
      <c r="C383" t="s">
        <v>872</v>
      </c>
      <c r="D383" t="s">
        <v>162</v>
      </c>
      <c r="E383" s="1">
        <v>285911.2</v>
      </c>
      <c r="F383" s="16">
        <f t="shared" si="5"/>
        <v>285911</v>
      </c>
      <c r="G383" s="21"/>
      <c r="H383" s="21"/>
      <c r="I383" s="22"/>
    </row>
    <row r="384" spans="1:10">
      <c r="A384">
        <v>800160</v>
      </c>
      <c r="B384" t="s">
        <v>1018</v>
      </c>
      <c r="C384" t="s">
        <v>872</v>
      </c>
      <c r="D384" t="s">
        <v>162</v>
      </c>
      <c r="E384" s="1">
        <v>-1871050</v>
      </c>
      <c r="F384" s="16">
        <f>ROUND(E384,0)</f>
        <v>-1871050</v>
      </c>
      <c r="G384" s="21"/>
      <c r="H384" s="21"/>
      <c r="I384" s="22"/>
    </row>
    <row r="385" spans="1:15">
      <c r="A385">
        <v>801199</v>
      </c>
      <c r="B385" t="s">
        <v>1026</v>
      </c>
      <c r="C385" t="s">
        <v>872</v>
      </c>
      <c r="D385" t="s">
        <v>169</v>
      </c>
      <c r="E385" s="1">
        <v>-45572298.75</v>
      </c>
      <c r="F385" s="16">
        <f t="shared" si="5"/>
        <v>-45572299</v>
      </c>
      <c r="G385" s="21"/>
      <c r="H385" s="21"/>
      <c r="I385" s="22"/>
    </row>
    <row r="386" spans="1:15">
      <c r="A386">
        <v>810000</v>
      </c>
      <c r="B386" t="s">
        <v>1029</v>
      </c>
      <c r="C386" t="s">
        <v>872</v>
      </c>
      <c r="D386" t="s">
        <v>157</v>
      </c>
      <c r="E386">
        <v>0</v>
      </c>
      <c r="F386" s="16">
        <f t="shared" si="5"/>
        <v>0</v>
      </c>
      <c r="G386" s="21"/>
      <c r="H386" s="21"/>
      <c r="I386" s="22"/>
      <c r="K386" t="s">
        <v>147</v>
      </c>
      <c r="L386" t="s">
        <v>148</v>
      </c>
      <c r="M386" t="s">
        <v>150</v>
      </c>
      <c r="N386" t="s">
        <v>152</v>
      </c>
      <c r="O386" t="s">
        <v>153</v>
      </c>
    </row>
    <row r="387" spans="1:15">
      <c r="A387">
        <v>810010</v>
      </c>
      <c r="B387" t="s">
        <v>1031</v>
      </c>
      <c r="C387" t="s">
        <v>872</v>
      </c>
      <c r="D387" t="s">
        <v>162</v>
      </c>
      <c r="E387" s="1">
        <v>-13613043.27</v>
      </c>
      <c r="F387" s="16">
        <f t="shared" si="5"/>
        <v>-13613043</v>
      </c>
      <c r="G387" s="21"/>
      <c r="H387" s="21"/>
      <c r="I387" s="22"/>
      <c r="K387">
        <v>810000</v>
      </c>
      <c r="L387" t="s">
        <v>1029</v>
      </c>
      <c r="M387" t="s">
        <v>157</v>
      </c>
      <c r="N387">
        <v>0</v>
      </c>
      <c r="O387">
        <v>0</v>
      </c>
    </row>
    <row r="388" spans="1:15">
      <c r="A388">
        <v>810020</v>
      </c>
      <c r="B388" t="s">
        <v>1033</v>
      </c>
      <c r="C388" t="s">
        <v>872</v>
      </c>
      <c r="D388" t="s">
        <v>162</v>
      </c>
      <c r="E388" s="1">
        <v>-553167.87</v>
      </c>
      <c r="F388" s="16">
        <f t="shared" si="5"/>
        <v>-553168</v>
      </c>
      <c r="G388" s="21"/>
      <c r="H388" s="21"/>
      <c r="I388" s="22"/>
      <c r="K388">
        <v>810010</v>
      </c>
      <c r="L388" t="s">
        <v>1031</v>
      </c>
      <c r="M388" t="s">
        <v>162</v>
      </c>
      <c r="N388" s="1">
        <v>-20000</v>
      </c>
      <c r="O388" s="1">
        <v>-13613043.27</v>
      </c>
    </row>
    <row r="389" spans="1:15">
      <c r="A389">
        <v>810030</v>
      </c>
      <c r="B389" t="s">
        <v>1035</v>
      </c>
      <c r="C389" t="s">
        <v>872</v>
      </c>
      <c r="D389" t="s">
        <v>162</v>
      </c>
      <c r="E389" s="1">
        <v>560975</v>
      </c>
      <c r="F389" s="16">
        <f t="shared" ref="F389:F452" si="6">ROUND(E389,0)</f>
        <v>560975</v>
      </c>
      <c r="G389" s="21"/>
      <c r="H389" s="21"/>
      <c r="I389" s="22"/>
      <c r="K389">
        <v>810020</v>
      </c>
      <c r="L389" t="s">
        <v>1033</v>
      </c>
      <c r="M389" t="s">
        <v>162</v>
      </c>
      <c r="N389" s="17">
        <v>-102814.02</v>
      </c>
      <c r="O389" s="1">
        <v>-553167.87</v>
      </c>
    </row>
    <row r="390" spans="1:15">
      <c r="A390">
        <v>810040</v>
      </c>
      <c r="B390" t="s">
        <v>1037</v>
      </c>
      <c r="C390" t="s">
        <v>872</v>
      </c>
      <c r="D390" t="s">
        <v>162</v>
      </c>
      <c r="E390" s="1">
        <v>7764553</v>
      </c>
      <c r="F390" s="16">
        <f t="shared" si="6"/>
        <v>7764553</v>
      </c>
      <c r="G390" s="21"/>
      <c r="H390" s="21"/>
      <c r="I390" s="22"/>
      <c r="K390">
        <v>810030</v>
      </c>
      <c r="L390" t="s">
        <v>1035</v>
      </c>
      <c r="M390" t="s">
        <v>162</v>
      </c>
      <c r="N390" s="1">
        <v>32750</v>
      </c>
      <c r="O390" s="1">
        <v>560975</v>
      </c>
    </row>
    <row r="391" spans="1:15">
      <c r="A391">
        <v>810050</v>
      </c>
      <c r="B391" t="s">
        <v>440</v>
      </c>
      <c r="C391" t="s">
        <v>872</v>
      </c>
      <c r="D391" t="s">
        <v>162</v>
      </c>
      <c r="E391" s="1">
        <v>60000</v>
      </c>
      <c r="F391" s="16">
        <f t="shared" si="6"/>
        <v>60000</v>
      </c>
      <c r="G391" s="21"/>
      <c r="H391" s="21"/>
      <c r="I391" s="22"/>
      <c r="K391">
        <v>810040</v>
      </c>
      <c r="L391" t="s">
        <v>1037</v>
      </c>
      <c r="M391" t="s">
        <v>162</v>
      </c>
      <c r="N391" s="1">
        <v>33000</v>
      </c>
      <c r="O391" s="1">
        <v>7764553</v>
      </c>
    </row>
    <row r="392" spans="1:15">
      <c r="A392">
        <v>810099</v>
      </c>
      <c r="B392" t="s">
        <v>1040</v>
      </c>
      <c r="C392" t="s">
        <v>872</v>
      </c>
      <c r="D392" t="s">
        <v>169</v>
      </c>
      <c r="E392" s="1">
        <v>-5780683.1399999997</v>
      </c>
      <c r="F392" s="16">
        <f t="shared" si="6"/>
        <v>-5780683</v>
      </c>
      <c r="G392" s="21"/>
      <c r="H392" s="21"/>
      <c r="I392" s="22"/>
      <c r="K392">
        <v>810050</v>
      </c>
      <c r="L392" t="s">
        <v>440</v>
      </c>
      <c r="M392" t="s">
        <v>162</v>
      </c>
      <c r="N392" s="14">
        <v>0</v>
      </c>
      <c r="O392" s="1">
        <v>60000</v>
      </c>
    </row>
    <row r="393" spans="1:15">
      <c r="A393">
        <v>810100</v>
      </c>
      <c r="B393" t="s">
        <v>1043</v>
      </c>
      <c r="C393" t="s">
        <v>872</v>
      </c>
      <c r="D393" t="s">
        <v>157</v>
      </c>
      <c r="E393">
        <v>0</v>
      </c>
      <c r="F393" s="16">
        <f t="shared" si="6"/>
        <v>0</v>
      </c>
      <c r="G393" s="21"/>
      <c r="H393" s="21"/>
      <c r="I393" s="22"/>
      <c r="K393">
        <v>810099</v>
      </c>
      <c r="L393" t="s">
        <v>1040</v>
      </c>
      <c r="M393" t="s">
        <v>169</v>
      </c>
      <c r="N393" s="1">
        <v>-57064.02</v>
      </c>
      <c r="O393" s="1">
        <v>-5780683.1399999997</v>
      </c>
    </row>
    <row r="394" spans="1:15">
      <c r="A394">
        <v>810110</v>
      </c>
      <c r="B394" t="s">
        <v>1045</v>
      </c>
      <c r="C394" t="s">
        <v>872</v>
      </c>
      <c r="D394" t="s">
        <v>162</v>
      </c>
      <c r="E394" s="1">
        <v>-21901.26</v>
      </c>
      <c r="F394" s="16">
        <f t="shared" si="6"/>
        <v>-21901</v>
      </c>
      <c r="G394" s="21"/>
      <c r="H394" s="21">
        <v>21901</v>
      </c>
      <c r="I394" s="22"/>
    </row>
    <row r="395" spans="1:15">
      <c r="A395">
        <v>810120</v>
      </c>
      <c r="B395" t="s">
        <v>1047</v>
      </c>
      <c r="C395" t="s">
        <v>872</v>
      </c>
      <c r="D395" t="s">
        <v>162</v>
      </c>
      <c r="E395" s="1">
        <v>-1843860</v>
      </c>
      <c r="F395" s="16">
        <f t="shared" si="6"/>
        <v>-1843860</v>
      </c>
      <c r="G395" s="21"/>
      <c r="H395" s="21">
        <f>-21901-620225</f>
        <v>-642126</v>
      </c>
      <c r="I395" s="22"/>
    </row>
    <row r="396" spans="1:15">
      <c r="A396">
        <v>810130</v>
      </c>
      <c r="B396" t="s">
        <v>1049</v>
      </c>
      <c r="C396" t="s">
        <v>872</v>
      </c>
      <c r="D396" t="s">
        <v>162</v>
      </c>
      <c r="E396" s="1">
        <v>-151674.73000000001</v>
      </c>
      <c r="F396" s="16">
        <f t="shared" si="6"/>
        <v>-151675</v>
      </c>
      <c r="G396" s="21"/>
      <c r="H396" s="21"/>
      <c r="I396" s="22"/>
    </row>
    <row r="397" spans="1:15">
      <c r="A397">
        <v>810140</v>
      </c>
      <c r="B397" t="s">
        <v>2320</v>
      </c>
      <c r="C397" t="s">
        <v>872</v>
      </c>
      <c r="D397" t="s">
        <v>162</v>
      </c>
      <c r="E397">
        <v>0</v>
      </c>
      <c r="F397" s="16">
        <f t="shared" si="6"/>
        <v>0</v>
      </c>
      <c r="G397" s="21"/>
      <c r="H397" s="21"/>
      <c r="I397" s="22"/>
    </row>
    <row r="398" spans="1:15">
      <c r="A398">
        <v>810150</v>
      </c>
      <c r="B398" t="s">
        <v>1053</v>
      </c>
      <c r="C398" t="s">
        <v>872</v>
      </c>
      <c r="D398" t="s">
        <v>162</v>
      </c>
      <c r="E398">
        <v>0</v>
      </c>
      <c r="F398" s="16">
        <f t="shared" si="6"/>
        <v>0</v>
      </c>
      <c r="G398" s="21"/>
      <c r="H398" s="21"/>
      <c r="I398" s="22"/>
    </row>
    <row r="399" spans="1:15">
      <c r="A399">
        <v>810160</v>
      </c>
      <c r="B399" t="s">
        <v>1055</v>
      </c>
      <c r="C399" t="s">
        <v>872</v>
      </c>
      <c r="D399" t="s">
        <v>162</v>
      </c>
      <c r="E399" s="1">
        <v>-3299089.81</v>
      </c>
      <c r="F399" s="16">
        <f t="shared" si="6"/>
        <v>-3299090</v>
      </c>
      <c r="G399" s="21"/>
      <c r="H399" s="21">
        <v>196426</v>
      </c>
      <c r="I399" s="22"/>
    </row>
    <row r="400" spans="1:15">
      <c r="A400">
        <v>810200</v>
      </c>
      <c r="B400" t="s">
        <v>2178</v>
      </c>
      <c r="C400" t="s">
        <v>872</v>
      </c>
      <c r="D400" t="s">
        <v>157</v>
      </c>
      <c r="E400">
        <v>0</v>
      </c>
      <c r="F400" s="16">
        <f t="shared" si="6"/>
        <v>0</v>
      </c>
      <c r="G400" s="21"/>
      <c r="H400" s="21"/>
      <c r="I400" s="22"/>
    </row>
    <row r="401" spans="1:9">
      <c r="A401">
        <v>810210</v>
      </c>
      <c r="B401" t="s">
        <v>1031</v>
      </c>
      <c r="C401" t="s">
        <v>872</v>
      </c>
      <c r="D401" t="s">
        <v>162</v>
      </c>
      <c r="E401" s="1">
        <v>-638788.36</v>
      </c>
      <c r="F401" s="16">
        <f t="shared" si="6"/>
        <v>-638788</v>
      </c>
      <c r="G401" s="21"/>
      <c r="H401" s="21"/>
      <c r="I401" s="22"/>
    </row>
    <row r="402" spans="1:9">
      <c r="A402">
        <v>810220</v>
      </c>
      <c r="B402" t="s">
        <v>1060</v>
      </c>
      <c r="C402" t="s">
        <v>872</v>
      </c>
      <c r="D402" t="s">
        <v>162</v>
      </c>
      <c r="E402">
        <v>0</v>
      </c>
      <c r="F402" s="16">
        <f t="shared" si="6"/>
        <v>0</v>
      </c>
      <c r="G402" s="21"/>
      <c r="H402" s="21"/>
      <c r="I402" s="22"/>
    </row>
    <row r="403" spans="1:9">
      <c r="A403">
        <v>810230</v>
      </c>
      <c r="B403" t="s">
        <v>1062</v>
      </c>
      <c r="C403" t="s">
        <v>872</v>
      </c>
      <c r="D403" t="s">
        <v>162</v>
      </c>
      <c r="E403" s="1">
        <v>16608.5</v>
      </c>
      <c r="F403" s="16">
        <f t="shared" si="6"/>
        <v>16609</v>
      </c>
      <c r="G403" s="21"/>
      <c r="H403" s="21"/>
      <c r="I403" s="22"/>
    </row>
    <row r="404" spans="1:9">
      <c r="A404">
        <v>810299</v>
      </c>
      <c r="B404" t="s">
        <v>2179</v>
      </c>
      <c r="C404" t="s">
        <v>872</v>
      </c>
      <c r="D404" t="s">
        <v>169</v>
      </c>
      <c r="E404" s="1">
        <v>-622179.86</v>
      </c>
      <c r="F404" s="16">
        <f t="shared" si="6"/>
        <v>-622180</v>
      </c>
      <c r="G404" s="21"/>
      <c r="H404" s="21"/>
      <c r="I404" s="22"/>
    </row>
    <row r="405" spans="1:9">
      <c r="A405">
        <v>810399</v>
      </c>
      <c r="B405" t="s">
        <v>1067</v>
      </c>
      <c r="C405" t="s">
        <v>872</v>
      </c>
      <c r="D405" t="s">
        <v>169</v>
      </c>
      <c r="E405" s="1">
        <v>-5938705.6600000001</v>
      </c>
      <c r="F405" s="16">
        <f t="shared" si="6"/>
        <v>-5938706</v>
      </c>
      <c r="G405" s="21"/>
      <c r="H405" s="21"/>
      <c r="I405" s="22"/>
    </row>
    <row r="406" spans="1:9">
      <c r="A406">
        <v>810499</v>
      </c>
      <c r="B406" t="s">
        <v>1070</v>
      </c>
      <c r="C406" t="s">
        <v>872</v>
      </c>
      <c r="D406" t="s">
        <v>169</v>
      </c>
      <c r="E406" s="1">
        <v>-57291687.549999997</v>
      </c>
      <c r="F406" s="16">
        <f t="shared" si="6"/>
        <v>-57291688</v>
      </c>
      <c r="G406" s="21"/>
      <c r="H406" s="21"/>
      <c r="I406" s="22"/>
    </row>
    <row r="407" spans="1:9">
      <c r="A407">
        <v>820000</v>
      </c>
      <c r="B407" t="s">
        <v>1073</v>
      </c>
      <c r="C407" t="s">
        <v>872</v>
      </c>
      <c r="D407" t="s">
        <v>157</v>
      </c>
      <c r="E407">
        <v>0</v>
      </c>
      <c r="F407" s="16">
        <f t="shared" si="6"/>
        <v>0</v>
      </c>
      <c r="G407" s="21"/>
      <c r="H407" s="21"/>
      <c r="I407" s="22"/>
    </row>
    <row r="408" spans="1:9">
      <c r="A408">
        <v>820010</v>
      </c>
      <c r="B408" t="s">
        <v>1075</v>
      </c>
      <c r="C408" t="s">
        <v>872</v>
      </c>
      <c r="D408" t="s">
        <v>162</v>
      </c>
      <c r="E408" s="1">
        <v>-1243900</v>
      </c>
      <c r="F408" s="16">
        <f t="shared" si="6"/>
        <v>-1243900</v>
      </c>
      <c r="G408" s="21"/>
      <c r="H408" s="21"/>
      <c r="I408" s="22"/>
    </row>
    <row r="409" spans="1:9">
      <c r="A409">
        <v>820020</v>
      </c>
      <c r="B409" t="s">
        <v>1077</v>
      </c>
      <c r="C409" t="s">
        <v>872</v>
      </c>
      <c r="D409" t="s">
        <v>162</v>
      </c>
      <c r="E409" s="1">
        <v>-16600</v>
      </c>
      <c r="F409" s="16">
        <f t="shared" si="6"/>
        <v>-16600</v>
      </c>
      <c r="G409" s="21"/>
      <c r="H409" s="21"/>
      <c r="I409" s="22"/>
    </row>
    <row r="410" spans="1:9">
      <c r="A410">
        <v>820030</v>
      </c>
      <c r="B410" t="s">
        <v>2321</v>
      </c>
      <c r="C410" t="s">
        <v>872</v>
      </c>
      <c r="D410" t="s">
        <v>162</v>
      </c>
      <c r="E410" s="1">
        <v>-8233966.8700000001</v>
      </c>
      <c r="F410" s="16">
        <f t="shared" si="6"/>
        <v>-8233967</v>
      </c>
      <c r="G410" s="21"/>
      <c r="H410" s="21"/>
      <c r="I410" s="22"/>
    </row>
    <row r="411" spans="1:9">
      <c r="A411">
        <v>820099</v>
      </c>
      <c r="B411" t="s">
        <v>1081</v>
      </c>
      <c r="C411" t="s">
        <v>872</v>
      </c>
      <c r="D411" t="s">
        <v>169</v>
      </c>
      <c r="E411" s="1">
        <v>-9494466.8699999992</v>
      </c>
      <c r="F411" s="16">
        <f t="shared" si="6"/>
        <v>-9494467</v>
      </c>
      <c r="G411" s="21"/>
      <c r="H411" s="21"/>
      <c r="I411" s="22"/>
    </row>
    <row r="412" spans="1:9">
      <c r="A412">
        <v>830000</v>
      </c>
      <c r="B412" t="s">
        <v>1084</v>
      </c>
      <c r="C412" t="s">
        <v>872</v>
      </c>
      <c r="D412" t="s">
        <v>157</v>
      </c>
      <c r="E412">
        <v>0</v>
      </c>
      <c r="F412" s="16">
        <f t="shared" si="6"/>
        <v>0</v>
      </c>
      <c r="G412" s="21"/>
      <c r="H412" s="21"/>
      <c r="I412" s="22"/>
    </row>
    <row r="413" spans="1:9">
      <c r="A413">
        <v>830010</v>
      </c>
      <c r="B413" t="s">
        <v>1086</v>
      </c>
      <c r="C413" t="s">
        <v>872</v>
      </c>
      <c r="D413" t="s">
        <v>157</v>
      </c>
      <c r="E413">
        <v>0</v>
      </c>
      <c r="F413" s="16">
        <f t="shared" si="6"/>
        <v>0</v>
      </c>
      <c r="G413" s="21"/>
      <c r="H413" s="21"/>
      <c r="I413" s="22"/>
    </row>
    <row r="414" spans="1:9">
      <c r="A414">
        <v>830020</v>
      </c>
      <c r="B414" t="s">
        <v>1088</v>
      </c>
      <c r="C414" t="s">
        <v>872</v>
      </c>
      <c r="D414" t="s">
        <v>162</v>
      </c>
      <c r="E414" s="1">
        <v>-297141</v>
      </c>
      <c r="F414" s="16">
        <f t="shared" si="6"/>
        <v>-297141</v>
      </c>
      <c r="G414" s="21"/>
      <c r="H414" s="21"/>
      <c r="I414" s="22"/>
    </row>
    <row r="415" spans="1:9">
      <c r="A415">
        <v>830099</v>
      </c>
      <c r="B415" t="s">
        <v>1090</v>
      </c>
      <c r="C415" t="s">
        <v>872</v>
      </c>
      <c r="D415" t="s">
        <v>169</v>
      </c>
      <c r="E415" s="1">
        <v>-297141</v>
      </c>
      <c r="F415" s="16">
        <f t="shared" si="6"/>
        <v>-297141</v>
      </c>
      <c r="G415" s="21"/>
      <c r="H415" s="21"/>
      <c r="I415" s="22"/>
    </row>
    <row r="416" spans="1:9">
      <c r="A416">
        <v>830100</v>
      </c>
      <c r="B416" t="s">
        <v>1093</v>
      </c>
      <c r="C416" t="s">
        <v>872</v>
      </c>
      <c r="D416" t="s">
        <v>157</v>
      </c>
      <c r="E416">
        <v>0</v>
      </c>
      <c r="F416" s="16">
        <f t="shared" si="6"/>
        <v>0</v>
      </c>
      <c r="G416" s="21"/>
      <c r="H416" s="21"/>
      <c r="I416" s="22"/>
    </row>
    <row r="417" spans="1:9">
      <c r="A417">
        <v>830200</v>
      </c>
      <c r="B417" t="s">
        <v>1095</v>
      </c>
      <c r="C417" t="s">
        <v>872</v>
      </c>
      <c r="D417" t="s">
        <v>157</v>
      </c>
      <c r="E417">
        <v>0</v>
      </c>
      <c r="F417" s="16">
        <f t="shared" si="6"/>
        <v>0</v>
      </c>
      <c r="G417" s="21"/>
      <c r="H417" s="21"/>
      <c r="I417" s="22"/>
    </row>
    <row r="418" spans="1:9">
      <c r="A418">
        <v>830210</v>
      </c>
      <c r="B418" t="s">
        <v>1097</v>
      </c>
      <c r="C418" t="s">
        <v>872</v>
      </c>
      <c r="D418" t="s">
        <v>162</v>
      </c>
      <c r="E418">
        <v>0</v>
      </c>
      <c r="F418" s="16">
        <f t="shared" si="6"/>
        <v>0</v>
      </c>
      <c r="G418" s="21"/>
      <c r="H418" s="21"/>
      <c r="I418" s="22"/>
    </row>
    <row r="419" spans="1:9">
      <c r="A419">
        <v>830220</v>
      </c>
      <c r="B419" t="s">
        <v>1099</v>
      </c>
      <c r="C419" t="s">
        <v>872</v>
      </c>
      <c r="D419" t="s">
        <v>162</v>
      </c>
      <c r="E419">
        <v>0</v>
      </c>
      <c r="F419" s="16">
        <f t="shared" si="6"/>
        <v>0</v>
      </c>
      <c r="G419" s="21"/>
      <c r="H419" s="21"/>
      <c r="I419" s="22"/>
    </row>
    <row r="420" spans="1:9">
      <c r="A420">
        <v>830299</v>
      </c>
      <c r="B420" t="s">
        <v>1101</v>
      </c>
      <c r="C420" t="s">
        <v>872</v>
      </c>
      <c r="D420" t="s">
        <v>169</v>
      </c>
      <c r="E420">
        <v>0</v>
      </c>
      <c r="F420" s="16">
        <f t="shared" si="6"/>
        <v>0</v>
      </c>
      <c r="G420" s="21"/>
      <c r="H420" s="21"/>
      <c r="I420" s="22"/>
    </row>
    <row r="421" spans="1:9">
      <c r="A421">
        <v>833000</v>
      </c>
      <c r="B421" t="s">
        <v>1104</v>
      </c>
      <c r="C421" t="s">
        <v>872</v>
      </c>
      <c r="D421" t="s">
        <v>157</v>
      </c>
      <c r="E421">
        <v>0</v>
      </c>
      <c r="F421" s="16">
        <f t="shared" si="6"/>
        <v>0</v>
      </c>
      <c r="G421" s="21"/>
      <c r="H421" s="21"/>
      <c r="I421" s="22"/>
    </row>
    <row r="422" spans="1:9">
      <c r="A422">
        <v>833100</v>
      </c>
      <c r="B422" t="s">
        <v>155</v>
      </c>
      <c r="C422" t="s">
        <v>872</v>
      </c>
      <c r="D422" t="s">
        <v>157</v>
      </c>
      <c r="E422">
        <v>0</v>
      </c>
      <c r="F422" s="16">
        <f t="shared" si="6"/>
        <v>0</v>
      </c>
      <c r="G422" s="21"/>
      <c r="H422" s="21"/>
      <c r="I422" s="22"/>
    </row>
    <row r="423" spans="1:9">
      <c r="A423">
        <v>833110</v>
      </c>
      <c r="B423" t="s">
        <v>1107</v>
      </c>
      <c r="C423" t="s">
        <v>872</v>
      </c>
      <c r="D423" t="s">
        <v>162</v>
      </c>
      <c r="E423" s="1">
        <v>-858972.17</v>
      </c>
      <c r="F423" s="16">
        <f t="shared" si="6"/>
        <v>-858972</v>
      </c>
      <c r="G423" s="21"/>
      <c r="H423" s="21"/>
      <c r="I423" s="22"/>
    </row>
    <row r="424" spans="1:9">
      <c r="A424">
        <v>833120</v>
      </c>
      <c r="B424" t="s">
        <v>440</v>
      </c>
      <c r="C424" t="s">
        <v>872</v>
      </c>
      <c r="D424" t="s">
        <v>162</v>
      </c>
      <c r="E424" s="1">
        <v>-445331</v>
      </c>
      <c r="F424" s="16">
        <f t="shared" si="6"/>
        <v>-445331</v>
      </c>
      <c r="G424" s="21"/>
      <c r="H424" s="21"/>
      <c r="I424" s="22"/>
    </row>
    <row r="425" spans="1:9">
      <c r="A425">
        <v>833130</v>
      </c>
      <c r="B425" t="s">
        <v>1110</v>
      </c>
      <c r="C425" t="s">
        <v>872</v>
      </c>
      <c r="D425" t="s">
        <v>162</v>
      </c>
      <c r="E425" s="1">
        <v>-42621.5</v>
      </c>
      <c r="F425" s="16">
        <f t="shared" si="6"/>
        <v>-42622</v>
      </c>
      <c r="G425" s="21"/>
      <c r="H425" s="21"/>
      <c r="I425" s="22"/>
    </row>
    <row r="426" spans="1:9">
      <c r="A426">
        <v>833150</v>
      </c>
      <c r="B426" t="s">
        <v>481</v>
      </c>
      <c r="C426" t="s">
        <v>872</v>
      </c>
      <c r="D426" t="s">
        <v>162</v>
      </c>
      <c r="E426" s="1">
        <v>750417.56</v>
      </c>
      <c r="F426" s="16">
        <f t="shared" si="6"/>
        <v>750418</v>
      </c>
      <c r="G426" s="21"/>
      <c r="H426" s="21"/>
      <c r="I426" s="22"/>
    </row>
    <row r="427" spans="1:9">
      <c r="A427">
        <v>833199</v>
      </c>
      <c r="B427" t="s">
        <v>278</v>
      </c>
      <c r="C427" t="s">
        <v>872</v>
      </c>
      <c r="D427" t="s">
        <v>169</v>
      </c>
      <c r="E427" s="1">
        <v>-596507.11</v>
      </c>
      <c r="F427" s="16">
        <f t="shared" si="6"/>
        <v>-596507</v>
      </c>
      <c r="G427" s="21"/>
      <c r="H427" s="21"/>
      <c r="I427" s="22"/>
    </row>
    <row r="428" spans="1:9">
      <c r="A428">
        <v>833200</v>
      </c>
      <c r="B428" t="s">
        <v>1115</v>
      </c>
      <c r="C428" t="s">
        <v>872</v>
      </c>
      <c r="D428" t="s">
        <v>157</v>
      </c>
      <c r="E428">
        <v>0</v>
      </c>
      <c r="F428" s="16">
        <f t="shared" si="6"/>
        <v>0</v>
      </c>
      <c r="G428" s="21"/>
      <c r="H428" s="21"/>
      <c r="I428" s="22"/>
    </row>
    <row r="429" spans="1:9">
      <c r="A429">
        <v>833210</v>
      </c>
      <c r="B429" t="s">
        <v>220</v>
      </c>
      <c r="C429" t="s">
        <v>872</v>
      </c>
      <c r="D429" t="s">
        <v>162</v>
      </c>
      <c r="E429" s="1">
        <v>28679.58</v>
      </c>
      <c r="F429" s="16">
        <f t="shared" si="6"/>
        <v>28680</v>
      </c>
      <c r="G429" s="21"/>
      <c r="H429" s="21"/>
      <c r="I429" s="22"/>
    </row>
    <row r="430" spans="1:9">
      <c r="A430">
        <v>833220</v>
      </c>
      <c r="B430" t="s">
        <v>1118</v>
      </c>
      <c r="C430" t="s">
        <v>872</v>
      </c>
      <c r="D430" t="s">
        <v>162</v>
      </c>
      <c r="E430" s="1">
        <v>7732.55</v>
      </c>
      <c r="F430" s="16">
        <f t="shared" si="6"/>
        <v>7733</v>
      </c>
      <c r="G430" s="21"/>
      <c r="H430" s="21"/>
      <c r="I430" s="22"/>
    </row>
    <row r="431" spans="1:9">
      <c r="A431">
        <v>833230</v>
      </c>
      <c r="B431" t="s">
        <v>1120</v>
      </c>
      <c r="C431" t="s">
        <v>872</v>
      </c>
      <c r="D431" t="s">
        <v>162</v>
      </c>
      <c r="E431" s="1">
        <v>9690</v>
      </c>
      <c r="F431" s="16">
        <f t="shared" si="6"/>
        <v>9690</v>
      </c>
      <c r="G431" s="21"/>
      <c r="H431" s="21"/>
      <c r="I431" s="22"/>
    </row>
    <row r="432" spans="1:9">
      <c r="A432">
        <v>833240</v>
      </c>
      <c r="B432" t="s">
        <v>2322</v>
      </c>
      <c r="C432" t="s">
        <v>872</v>
      </c>
      <c r="D432" t="s">
        <v>162</v>
      </c>
      <c r="E432" s="1">
        <v>32421.84</v>
      </c>
      <c r="F432" s="16">
        <f t="shared" si="6"/>
        <v>32422</v>
      </c>
      <c r="G432" s="21"/>
      <c r="H432" s="21"/>
      <c r="I432" s="22"/>
    </row>
    <row r="433" spans="1:9">
      <c r="A433">
        <v>833250</v>
      </c>
      <c r="B433" t="s">
        <v>2323</v>
      </c>
      <c r="C433" t="s">
        <v>872</v>
      </c>
      <c r="D433" t="s">
        <v>162</v>
      </c>
      <c r="E433" s="1">
        <v>5021.6899999999996</v>
      </c>
      <c r="F433" s="16">
        <f t="shared" si="6"/>
        <v>5022</v>
      </c>
      <c r="G433" s="21"/>
      <c r="H433" s="21"/>
      <c r="I433" s="22"/>
    </row>
    <row r="434" spans="1:9">
      <c r="A434">
        <v>833260</v>
      </c>
      <c r="B434" t="s">
        <v>1126</v>
      </c>
      <c r="C434" t="s">
        <v>872</v>
      </c>
      <c r="D434" t="s">
        <v>162</v>
      </c>
      <c r="E434">
        <v>937.5</v>
      </c>
      <c r="F434" s="16">
        <f t="shared" si="6"/>
        <v>938</v>
      </c>
      <c r="G434" s="21"/>
      <c r="H434" s="21"/>
      <c r="I434" s="22"/>
    </row>
    <row r="435" spans="1:9">
      <c r="A435">
        <v>833270</v>
      </c>
      <c r="B435" t="s">
        <v>1128</v>
      </c>
      <c r="C435" t="s">
        <v>872</v>
      </c>
      <c r="D435" t="s">
        <v>162</v>
      </c>
      <c r="E435" s="1">
        <v>4450</v>
      </c>
      <c r="F435" s="16">
        <f t="shared" si="6"/>
        <v>4450</v>
      </c>
      <c r="G435" s="21"/>
      <c r="H435" s="21"/>
      <c r="I435" s="22"/>
    </row>
    <row r="436" spans="1:9">
      <c r="A436">
        <v>833280</v>
      </c>
      <c r="B436" t="s">
        <v>1130</v>
      </c>
      <c r="C436" t="s">
        <v>872</v>
      </c>
      <c r="D436" t="s">
        <v>162</v>
      </c>
      <c r="E436">
        <v>0</v>
      </c>
      <c r="F436" s="16">
        <f t="shared" si="6"/>
        <v>0</v>
      </c>
      <c r="G436" s="21"/>
      <c r="H436" s="21"/>
      <c r="I436" s="22"/>
    </row>
    <row r="437" spans="1:9">
      <c r="A437">
        <v>833290</v>
      </c>
      <c r="B437" t="s">
        <v>1132</v>
      </c>
      <c r="C437" t="s">
        <v>872</v>
      </c>
      <c r="D437" t="s">
        <v>162</v>
      </c>
      <c r="E437" s="1">
        <v>6365.57</v>
      </c>
      <c r="F437" s="16">
        <f t="shared" si="6"/>
        <v>6366</v>
      </c>
      <c r="G437" s="21"/>
      <c r="H437" s="21"/>
      <c r="I437" s="22"/>
    </row>
    <row r="438" spans="1:9">
      <c r="A438">
        <v>833300</v>
      </c>
      <c r="B438" t="s">
        <v>1134</v>
      </c>
      <c r="C438" t="s">
        <v>872</v>
      </c>
      <c r="D438" t="s">
        <v>162</v>
      </c>
      <c r="E438" s="1">
        <v>15834.1</v>
      </c>
      <c r="F438" s="16">
        <f t="shared" si="6"/>
        <v>15834</v>
      </c>
      <c r="G438" s="21"/>
      <c r="H438" s="21"/>
      <c r="I438" s="22"/>
    </row>
    <row r="439" spans="1:9">
      <c r="A439">
        <v>833310</v>
      </c>
      <c r="B439" t="s">
        <v>1136</v>
      </c>
      <c r="C439" t="s">
        <v>872</v>
      </c>
      <c r="D439" t="s">
        <v>162</v>
      </c>
      <c r="E439" s="1">
        <v>1622.45</v>
      </c>
      <c r="F439" s="16">
        <f t="shared" si="6"/>
        <v>1622</v>
      </c>
      <c r="G439" s="21"/>
      <c r="H439" s="21"/>
      <c r="I439" s="22"/>
    </row>
    <row r="440" spans="1:9">
      <c r="A440">
        <v>833320</v>
      </c>
      <c r="B440" t="s">
        <v>1138</v>
      </c>
      <c r="C440" t="s">
        <v>872</v>
      </c>
      <c r="D440" t="s">
        <v>162</v>
      </c>
      <c r="E440">
        <v>858</v>
      </c>
      <c r="F440" s="16">
        <f t="shared" si="6"/>
        <v>858</v>
      </c>
      <c r="G440" s="21"/>
      <c r="H440" s="21"/>
      <c r="I440" s="22"/>
    </row>
    <row r="441" spans="1:9">
      <c r="A441">
        <v>833330</v>
      </c>
      <c r="B441" t="s">
        <v>1140</v>
      </c>
      <c r="C441" t="s">
        <v>872</v>
      </c>
      <c r="D441" t="s">
        <v>162</v>
      </c>
      <c r="E441">
        <v>163</v>
      </c>
      <c r="F441" s="16">
        <f t="shared" si="6"/>
        <v>163</v>
      </c>
      <c r="G441" s="21"/>
      <c r="H441" s="21"/>
      <c r="I441" s="22"/>
    </row>
    <row r="442" spans="1:9">
      <c r="A442">
        <v>833340</v>
      </c>
      <c r="B442" t="s">
        <v>748</v>
      </c>
      <c r="C442" t="s">
        <v>872</v>
      </c>
      <c r="D442" t="s">
        <v>162</v>
      </c>
      <c r="E442" s="1">
        <v>30442.62</v>
      </c>
      <c r="F442" s="16">
        <f t="shared" si="6"/>
        <v>30443</v>
      </c>
      <c r="G442" s="21"/>
      <c r="H442" s="21"/>
      <c r="I442" s="22"/>
    </row>
    <row r="443" spans="1:9">
      <c r="A443">
        <v>833350</v>
      </c>
      <c r="B443" t="s">
        <v>1144</v>
      </c>
      <c r="C443" t="s">
        <v>872</v>
      </c>
      <c r="D443" t="s">
        <v>162</v>
      </c>
      <c r="E443">
        <v>990.32</v>
      </c>
      <c r="F443" s="16">
        <f t="shared" si="6"/>
        <v>990</v>
      </c>
      <c r="G443" s="21"/>
      <c r="H443" s="21"/>
      <c r="I443" s="22"/>
    </row>
    <row r="444" spans="1:9">
      <c r="A444">
        <v>833360</v>
      </c>
      <c r="B444" t="s">
        <v>1146</v>
      </c>
      <c r="C444" t="s">
        <v>872</v>
      </c>
      <c r="D444" t="s">
        <v>162</v>
      </c>
      <c r="E444" s="1">
        <v>16635</v>
      </c>
      <c r="F444" s="16">
        <f t="shared" si="6"/>
        <v>16635</v>
      </c>
      <c r="G444" s="21"/>
      <c r="H444" s="21"/>
      <c r="I444" s="22"/>
    </row>
    <row r="445" spans="1:9">
      <c r="A445">
        <v>833370</v>
      </c>
      <c r="B445" t="s">
        <v>1148</v>
      </c>
      <c r="C445" t="s">
        <v>872</v>
      </c>
      <c r="D445" t="s">
        <v>162</v>
      </c>
      <c r="E445">
        <v>0</v>
      </c>
      <c r="F445" s="16">
        <f t="shared" si="6"/>
        <v>0</v>
      </c>
      <c r="G445" s="21"/>
      <c r="H445" s="21"/>
      <c r="I445" s="22"/>
    </row>
    <row r="446" spans="1:9">
      <c r="A446">
        <v>833380</v>
      </c>
      <c r="B446" t="s">
        <v>1150</v>
      </c>
      <c r="C446" t="s">
        <v>872</v>
      </c>
      <c r="D446" t="s">
        <v>162</v>
      </c>
      <c r="E446">
        <v>0</v>
      </c>
      <c r="F446" s="16">
        <f t="shared" si="6"/>
        <v>0</v>
      </c>
      <c r="G446" s="21"/>
      <c r="H446" s="21"/>
      <c r="I446" s="22"/>
    </row>
    <row r="447" spans="1:9">
      <c r="A447">
        <v>833398</v>
      </c>
      <c r="B447" t="s">
        <v>1152</v>
      </c>
      <c r="C447" t="s">
        <v>872</v>
      </c>
      <c r="D447" t="s">
        <v>169</v>
      </c>
      <c r="E447" s="1">
        <v>161844.22</v>
      </c>
      <c r="F447" s="16">
        <f t="shared" si="6"/>
        <v>161844</v>
      </c>
      <c r="G447" s="21"/>
      <c r="H447" s="21"/>
      <c r="I447" s="22"/>
    </row>
    <row r="448" spans="1:9">
      <c r="A448">
        <v>833399</v>
      </c>
      <c r="B448" t="s">
        <v>1155</v>
      </c>
      <c r="C448" t="s">
        <v>872</v>
      </c>
      <c r="D448" t="s">
        <v>169</v>
      </c>
      <c r="E448" s="1">
        <v>-434662.89</v>
      </c>
      <c r="F448" s="16">
        <f t="shared" si="6"/>
        <v>-434663</v>
      </c>
      <c r="G448" s="21"/>
      <c r="H448" s="21"/>
      <c r="I448" s="22"/>
    </row>
    <row r="449" spans="1:10">
      <c r="A449">
        <v>834999</v>
      </c>
      <c r="B449" t="s">
        <v>1158</v>
      </c>
      <c r="C449" t="s">
        <v>872</v>
      </c>
      <c r="D449" t="s">
        <v>169</v>
      </c>
      <c r="E449" s="1">
        <v>-434662.89</v>
      </c>
      <c r="F449" s="16">
        <f t="shared" si="6"/>
        <v>-434663</v>
      </c>
      <c r="G449" s="21"/>
      <c r="H449" s="21"/>
      <c r="I449" s="22"/>
    </row>
    <row r="450" spans="1:10">
      <c r="A450">
        <v>850000</v>
      </c>
      <c r="B450" t="s">
        <v>1161</v>
      </c>
      <c r="C450" t="s">
        <v>872</v>
      </c>
      <c r="D450" t="s">
        <v>157</v>
      </c>
      <c r="E450">
        <v>0</v>
      </c>
      <c r="F450" s="16">
        <f t="shared" si="6"/>
        <v>0</v>
      </c>
      <c r="G450" s="21"/>
      <c r="H450" s="21"/>
      <c r="I450" s="22"/>
    </row>
    <row r="451" spans="1:10">
      <c r="A451">
        <v>850010</v>
      </c>
      <c r="B451" t="s">
        <v>1163</v>
      </c>
      <c r="C451" t="s">
        <v>872</v>
      </c>
      <c r="D451" t="s">
        <v>162</v>
      </c>
      <c r="E451">
        <v>-90</v>
      </c>
      <c r="F451" s="16">
        <f t="shared" si="6"/>
        <v>-90</v>
      </c>
      <c r="G451" s="21"/>
      <c r="H451" s="21"/>
      <c r="I451" s="22"/>
    </row>
    <row r="452" spans="1:10">
      <c r="A452">
        <v>850020</v>
      </c>
      <c r="B452" t="s">
        <v>1165</v>
      </c>
      <c r="C452" t="s">
        <v>872</v>
      </c>
      <c r="D452" t="s">
        <v>162</v>
      </c>
      <c r="E452">
        <v>-33</v>
      </c>
      <c r="F452" s="16">
        <f t="shared" si="6"/>
        <v>-33</v>
      </c>
      <c r="G452" s="21"/>
      <c r="H452" s="21"/>
      <c r="I452" s="22"/>
    </row>
    <row r="453" spans="1:10">
      <c r="A453">
        <v>850030</v>
      </c>
      <c r="B453" t="s">
        <v>1167</v>
      </c>
      <c r="C453" t="s">
        <v>872</v>
      </c>
      <c r="D453" t="s">
        <v>162</v>
      </c>
      <c r="E453">
        <v>-990</v>
      </c>
      <c r="F453" s="16">
        <f t="shared" ref="F453:F516" si="7">ROUND(E453,0)</f>
        <v>-990</v>
      </c>
      <c r="G453" s="21"/>
      <c r="H453" s="21"/>
      <c r="I453" s="22"/>
    </row>
    <row r="454" spans="1:10">
      <c r="A454">
        <v>850040</v>
      </c>
      <c r="B454" t="s">
        <v>1169</v>
      </c>
      <c r="C454" t="s">
        <v>872</v>
      </c>
      <c r="D454" t="s">
        <v>162</v>
      </c>
      <c r="E454">
        <v>0</v>
      </c>
      <c r="F454" s="16">
        <f t="shared" si="7"/>
        <v>0</v>
      </c>
      <c r="G454" s="21"/>
      <c r="H454" s="21"/>
      <c r="I454" s="22"/>
    </row>
    <row r="455" spans="1:10">
      <c r="A455">
        <v>850050</v>
      </c>
      <c r="B455" t="s">
        <v>1171</v>
      </c>
      <c r="C455" t="s">
        <v>872</v>
      </c>
      <c r="D455" t="s">
        <v>162</v>
      </c>
      <c r="E455">
        <v>0</v>
      </c>
      <c r="F455" s="16">
        <f t="shared" si="7"/>
        <v>0</v>
      </c>
      <c r="G455" s="21"/>
      <c r="H455" s="21"/>
      <c r="I455" s="22"/>
    </row>
    <row r="456" spans="1:10">
      <c r="A456">
        <v>850060</v>
      </c>
      <c r="B456" t="s">
        <v>1173</v>
      </c>
      <c r="C456" t="s">
        <v>872</v>
      </c>
      <c r="D456" t="s">
        <v>162</v>
      </c>
      <c r="E456">
        <v>-870</v>
      </c>
      <c r="F456" s="16">
        <f t="shared" si="7"/>
        <v>-870</v>
      </c>
      <c r="G456" s="21"/>
      <c r="H456" s="21"/>
      <c r="I456" s="22"/>
    </row>
    <row r="457" spans="1:10">
      <c r="A457">
        <v>850070</v>
      </c>
      <c r="B457" t="s">
        <v>1175</v>
      </c>
      <c r="C457" t="s">
        <v>872</v>
      </c>
      <c r="D457" t="s">
        <v>162</v>
      </c>
      <c r="E457" s="1">
        <v>-1325</v>
      </c>
      <c r="F457" s="16">
        <f t="shared" si="7"/>
        <v>-1325</v>
      </c>
      <c r="G457" s="21"/>
      <c r="H457" s="21"/>
      <c r="I457" s="22"/>
    </row>
    <row r="458" spans="1:10">
      <c r="A458">
        <v>850080</v>
      </c>
      <c r="B458" t="s">
        <v>1177</v>
      </c>
      <c r="C458" t="s">
        <v>872</v>
      </c>
      <c r="D458" t="s">
        <v>162</v>
      </c>
      <c r="E458">
        <v>-176</v>
      </c>
      <c r="F458" s="16">
        <f t="shared" si="7"/>
        <v>-176</v>
      </c>
      <c r="G458" s="21"/>
      <c r="H458" s="21"/>
      <c r="I458" s="22"/>
    </row>
    <row r="459" spans="1:10">
      <c r="A459">
        <v>850090</v>
      </c>
      <c r="B459" t="s">
        <v>928</v>
      </c>
      <c r="C459" t="s">
        <v>872</v>
      </c>
      <c r="D459" t="s">
        <v>162</v>
      </c>
      <c r="E459" s="1">
        <v>-8019.86</v>
      </c>
      <c r="F459" s="16">
        <f t="shared" si="7"/>
        <v>-8020</v>
      </c>
      <c r="G459" s="21"/>
      <c r="H459" s="21"/>
      <c r="I459" s="22"/>
      <c r="J459" s="3">
        <f>+F451+F452+F453+F456+F457+F458+F467+F459</f>
        <v>-11504</v>
      </c>
    </row>
    <row r="460" spans="1:10">
      <c r="A460">
        <v>850100</v>
      </c>
      <c r="B460" t="s">
        <v>1181</v>
      </c>
      <c r="C460" t="s">
        <v>872</v>
      </c>
      <c r="D460" t="s">
        <v>162</v>
      </c>
      <c r="E460" s="1">
        <v>-16008.5</v>
      </c>
      <c r="F460" s="16">
        <f t="shared" si="7"/>
        <v>-16009</v>
      </c>
      <c r="G460" s="21"/>
      <c r="H460" s="21"/>
      <c r="I460" s="22"/>
    </row>
    <row r="461" spans="1:10">
      <c r="A461">
        <v>850110</v>
      </c>
      <c r="B461" t="s">
        <v>2222</v>
      </c>
      <c r="C461" t="s">
        <v>872</v>
      </c>
      <c r="D461" t="s">
        <v>162</v>
      </c>
      <c r="E461" s="1">
        <v>84512.84</v>
      </c>
      <c r="F461" s="16">
        <f t="shared" si="7"/>
        <v>84513</v>
      </c>
      <c r="G461" s="21"/>
      <c r="H461" s="21"/>
      <c r="I461" s="22"/>
    </row>
    <row r="462" spans="1:10">
      <c r="A462">
        <v>850130</v>
      </c>
      <c r="B462" t="s">
        <v>1187</v>
      </c>
      <c r="C462" t="s">
        <v>872</v>
      </c>
      <c r="D462" t="s">
        <v>162</v>
      </c>
      <c r="E462">
        <v>0</v>
      </c>
      <c r="F462" s="16">
        <f t="shared" si="7"/>
        <v>0</v>
      </c>
      <c r="G462" s="21"/>
      <c r="H462" s="21"/>
      <c r="I462" s="22"/>
    </row>
    <row r="463" spans="1:10">
      <c r="A463">
        <v>850140</v>
      </c>
      <c r="B463" t="s">
        <v>2180</v>
      </c>
      <c r="C463" t="s">
        <v>872</v>
      </c>
      <c r="D463" t="s">
        <v>162</v>
      </c>
      <c r="E463">
        <v>0</v>
      </c>
      <c r="F463" s="16">
        <f t="shared" si="7"/>
        <v>0</v>
      </c>
      <c r="G463" s="21"/>
      <c r="H463" s="21"/>
      <c r="I463" s="22"/>
    </row>
    <row r="464" spans="1:10">
      <c r="A464">
        <v>850150</v>
      </c>
      <c r="B464" t="s">
        <v>1191</v>
      </c>
      <c r="C464" t="s">
        <v>872</v>
      </c>
      <c r="D464" t="s">
        <v>162</v>
      </c>
      <c r="E464" s="1">
        <v>-223720.81</v>
      </c>
      <c r="F464" s="16">
        <f t="shared" si="7"/>
        <v>-223721</v>
      </c>
      <c r="G464" s="21"/>
      <c r="H464" s="21"/>
      <c r="I464" s="22"/>
    </row>
    <row r="465" spans="1:10">
      <c r="A465">
        <v>850160</v>
      </c>
      <c r="B465" t="s">
        <v>1193</v>
      </c>
      <c r="C465" t="s">
        <v>872</v>
      </c>
      <c r="D465" t="s">
        <v>162</v>
      </c>
      <c r="E465" s="1">
        <v>1546.09</v>
      </c>
      <c r="F465" s="16">
        <f t="shared" si="7"/>
        <v>1546</v>
      </c>
      <c r="G465" s="21"/>
      <c r="H465" s="21"/>
      <c r="I465" s="22"/>
    </row>
    <row r="466" spans="1:10">
      <c r="A466">
        <v>850170</v>
      </c>
      <c r="B466" t="s">
        <v>2181</v>
      </c>
      <c r="C466" t="s">
        <v>872</v>
      </c>
      <c r="D466" t="s">
        <v>162</v>
      </c>
      <c r="E466" s="1">
        <v>-38877.64</v>
      </c>
      <c r="F466" s="16">
        <f t="shared" si="7"/>
        <v>-38878</v>
      </c>
      <c r="G466" s="21"/>
      <c r="H466" s="21"/>
      <c r="I466" s="22"/>
    </row>
    <row r="467" spans="1:10">
      <c r="A467">
        <v>850180</v>
      </c>
      <c r="B467" t="s">
        <v>2223</v>
      </c>
      <c r="C467" t="s">
        <v>872</v>
      </c>
      <c r="D467" t="s">
        <v>162</v>
      </c>
      <c r="E467">
        <v>0</v>
      </c>
      <c r="F467" s="16">
        <f t="shared" si="7"/>
        <v>0</v>
      </c>
      <c r="G467" s="21"/>
      <c r="H467" s="21"/>
      <c r="I467" s="22"/>
    </row>
    <row r="468" spans="1:10">
      <c r="A468">
        <v>851199</v>
      </c>
      <c r="B468" t="s">
        <v>1201</v>
      </c>
      <c r="C468" t="s">
        <v>872</v>
      </c>
      <c r="D468" t="s">
        <v>169</v>
      </c>
      <c r="E468" s="1">
        <v>-204051.88</v>
      </c>
      <c r="F468" s="16">
        <f t="shared" si="7"/>
        <v>-204052</v>
      </c>
      <c r="G468" s="21"/>
      <c r="H468" s="21"/>
      <c r="I468" s="22"/>
    </row>
    <row r="469" spans="1:10">
      <c r="A469">
        <v>852000</v>
      </c>
      <c r="B469" t="s">
        <v>1204</v>
      </c>
      <c r="C469" t="s">
        <v>872</v>
      </c>
      <c r="D469" t="s">
        <v>157</v>
      </c>
      <c r="E469">
        <v>0</v>
      </c>
      <c r="F469" s="16">
        <f t="shared" si="7"/>
        <v>0</v>
      </c>
      <c r="G469" s="21"/>
      <c r="H469" s="21"/>
      <c r="I469" s="22"/>
    </row>
    <row r="470" spans="1:10">
      <c r="A470">
        <v>852010</v>
      </c>
      <c r="B470" t="s">
        <v>1206</v>
      </c>
      <c r="C470" t="s">
        <v>872</v>
      </c>
      <c r="D470" t="s">
        <v>162</v>
      </c>
      <c r="E470" s="1">
        <v>-475671.27</v>
      </c>
      <c r="F470" s="16">
        <f t="shared" si="7"/>
        <v>-475671</v>
      </c>
      <c r="G470" s="21"/>
      <c r="H470" s="21"/>
      <c r="I470" s="22"/>
      <c r="J470" s="3">
        <f>+F470+F466+J459+F481+F571+F572+F573+F576+F578+F580+F581+F346+F483+F484+F485+F486+F488+G485+H485+I485</f>
        <v>-2732601.78</v>
      </c>
    </row>
    <row r="471" spans="1:10">
      <c r="A471">
        <v>852099</v>
      </c>
      <c r="B471" t="s">
        <v>1208</v>
      </c>
      <c r="C471" t="s">
        <v>872</v>
      </c>
      <c r="D471" t="s">
        <v>169</v>
      </c>
      <c r="E471" s="1">
        <v>-475671.27</v>
      </c>
      <c r="F471" s="16">
        <f t="shared" si="7"/>
        <v>-475671</v>
      </c>
      <c r="G471" s="21"/>
      <c r="H471" s="21"/>
      <c r="I471" s="22"/>
    </row>
    <row r="472" spans="1:10">
      <c r="A472">
        <v>853000</v>
      </c>
      <c r="B472" t="s">
        <v>1211</v>
      </c>
      <c r="C472" t="s">
        <v>872</v>
      </c>
      <c r="D472" t="s">
        <v>157</v>
      </c>
      <c r="E472">
        <v>0</v>
      </c>
      <c r="F472" s="16">
        <f t="shared" si="7"/>
        <v>0</v>
      </c>
      <c r="G472" s="21"/>
      <c r="H472" s="21"/>
      <c r="I472" s="22"/>
    </row>
    <row r="473" spans="1:10">
      <c r="A473">
        <v>853010</v>
      </c>
      <c r="B473" t="s">
        <v>1213</v>
      </c>
      <c r="C473" t="s">
        <v>872</v>
      </c>
      <c r="D473" t="s">
        <v>162</v>
      </c>
      <c r="E473" s="1">
        <v>60567</v>
      </c>
      <c r="F473" s="16">
        <f t="shared" si="7"/>
        <v>60567</v>
      </c>
      <c r="G473" s="21"/>
      <c r="H473" s="21"/>
      <c r="I473" s="22"/>
    </row>
    <row r="474" spans="1:10">
      <c r="A474">
        <v>853020</v>
      </c>
      <c r="B474" t="s">
        <v>1215</v>
      </c>
      <c r="C474" t="s">
        <v>872</v>
      </c>
      <c r="D474" t="s">
        <v>162</v>
      </c>
      <c r="E474" s="1">
        <v>16766</v>
      </c>
      <c r="F474" s="16">
        <f t="shared" si="7"/>
        <v>16766</v>
      </c>
      <c r="G474" s="21"/>
      <c r="H474" s="21"/>
      <c r="I474" s="22"/>
    </row>
    <row r="475" spans="1:10">
      <c r="A475">
        <v>853030</v>
      </c>
      <c r="B475" t="s">
        <v>1217</v>
      </c>
      <c r="C475" t="s">
        <v>872</v>
      </c>
      <c r="D475" t="s">
        <v>162</v>
      </c>
      <c r="E475" s="1">
        <v>-16797.23</v>
      </c>
      <c r="F475" s="16">
        <f t="shared" si="7"/>
        <v>-16797</v>
      </c>
      <c r="G475" s="21"/>
      <c r="H475" s="21"/>
      <c r="I475" s="22"/>
    </row>
    <row r="476" spans="1:10">
      <c r="A476">
        <v>853040</v>
      </c>
      <c r="B476" t="s">
        <v>1219</v>
      </c>
      <c r="C476" t="s">
        <v>872</v>
      </c>
      <c r="D476" t="s">
        <v>162</v>
      </c>
      <c r="E476" s="1">
        <v>-25290.07</v>
      </c>
      <c r="F476" s="16">
        <f t="shared" si="7"/>
        <v>-25290</v>
      </c>
      <c r="G476" s="21"/>
      <c r="H476" s="21"/>
      <c r="I476" s="22"/>
    </row>
    <row r="477" spans="1:10">
      <c r="A477">
        <v>853050</v>
      </c>
      <c r="B477" t="s">
        <v>1221</v>
      </c>
      <c r="C477" t="s">
        <v>872</v>
      </c>
      <c r="D477" t="s">
        <v>162</v>
      </c>
      <c r="E477" s="1">
        <v>-22371.1</v>
      </c>
      <c r="F477" s="16">
        <f t="shared" si="7"/>
        <v>-22371</v>
      </c>
      <c r="G477" s="21"/>
      <c r="H477" s="21"/>
      <c r="I477" s="22"/>
    </row>
    <row r="478" spans="1:10">
      <c r="A478">
        <v>853060</v>
      </c>
      <c r="B478" t="s">
        <v>1223</v>
      </c>
      <c r="C478" t="s">
        <v>872</v>
      </c>
      <c r="D478" t="s">
        <v>162</v>
      </c>
      <c r="E478" s="1">
        <v>-57195.67</v>
      </c>
      <c r="F478" s="16">
        <f t="shared" si="7"/>
        <v>-57196</v>
      </c>
      <c r="G478" s="21"/>
      <c r="H478" s="21"/>
      <c r="I478" s="22"/>
    </row>
    <row r="479" spans="1:10">
      <c r="A479">
        <v>853070</v>
      </c>
      <c r="B479" t="s">
        <v>1225</v>
      </c>
      <c r="C479" t="s">
        <v>872</v>
      </c>
      <c r="D479" t="s">
        <v>162</v>
      </c>
      <c r="E479">
        <v>-0.05</v>
      </c>
      <c r="F479" s="16">
        <f t="shared" si="7"/>
        <v>0</v>
      </c>
      <c r="G479" s="21"/>
      <c r="H479" s="21"/>
      <c r="I479" s="22"/>
    </row>
    <row r="480" spans="1:10">
      <c r="A480">
        <v>853080</v>
      </c>
      <c r="B480" t="s">
        <v>1227</v>
      </c>
      <c r="C480" t="s">
        <v>872</v>
      </c>
      <c r="D480" t="s">
        <v>162</v>
      </c>
      <c r="E480">
        <v>0</v>
      </c>
      <c r="F480" s="16">
        <f t="shared" si="7"/>
        <v>0</v>
      </c>
      <c r="G480" s="21"/>
      <c r="H480" s="21"/>
      <c r="I480" s="22"/>
    </row>
    <row r="481" spans="1:9">
      <c r="A481">
        <v>853099</v>
      </c>
      <c r="B481" t="s">
        <v>1229</v>
      </c>
      <c r="C481" t="s">
        <v>872</v>
      </c>
      <c r="D481" t="s">
        <v>169</v>
      </c>
      <c r="E481" s="1">
        <v>-44321.120000000003</v>
      </c>
      <c r="F481" s="16">
        <f t="shared" si="7"/>
        <v>-44321</v>
      </c>
      <c r="G481" s="21"/>
      <c r="H481" s="21"/>
      <c r="I481" s="22"/>
    </row>
    <row r="482" spans="1:9">
      <c r="A482">
        <v>854000</v>
      </c>
      <c r="B482" t="s">
        <v>1232</v>
      </c>
      <c r="C482" t="s">
        <v>872</v>
      </c>
      <c r="D482" t="s">
        <v>157</v>
      </c>
      <c r="E482">
        <v>0</v>
      </c>
      <c r="F482" s="16">
        <f t="shared" si="7"/>
        <v>0</v>
      </c>
      <c r="G482" s="21"/>
      <c r="H482" s="21"/>
      <c r="I482" s="22"/>
    </row>
    <row r="483" spans="1:9">
      <c r="A483">
        <v>854010</v>
      </c>
      <c r="B483" t="s">
        <v>1234</v>
      </c>
      <c r="C483" t="s">
        <v>872</v>
      </c>
      <c r="D483" t="s">
        <v>162</v>
      </c>
      <c r="E483" s="1">
        <v>-6848.42</v>
      </c>
      <c r="F483" s="16">
        <f t="shared" si="7"/>
        <v>-6848</v>
      </c>
      <c r="G483" s="21"/>
      <c r="H483" s="21"/>
      <c r="I483" s="22"/>
    </row>
    <row r="484" spans="1:9">
      <c r="A484">
        <v>854020</v>
      </c>
      <c r="B484" t="s">
        <v>1236</v>
      </c>
      <c r="C484" t="s">
        <v>872</v>
      </c>
      <c r="D484" t="s">
        <v>162</v>
      </c>
      <c r="E484">
        <v>-525.87</v>
      </c>
      <c r="F484" s="16">
        <f t="shared" si="7"/>
        <v>-526</v>
      </c>
      <c r="G484" s="21"/>
      <c r="H484" s="21"/>
      <c r="I484" s="22"/>
    </row>
    <row r="485" spans="1:9">
      <c r="A485">
        <v>854030</v>
      </c>
      <c r="B485" t="s">
        <v>1240</v>
      </c>
      <c r="C485" t="s">
        <v>872</v>
      </c>
      <c r="D485" t="s">
        <v>162</v>
      </c>
      <c r="E485" s="1">
        <v>-297454.77</v>
      </c>
      <c r="F485" s="16">
        <f t="shared" si="7"/>
        <v>-297455</v>
      </c>
      <c r="G485" s="21">
        <f>-1510-24221</f>
        <v>-25731</v>
      </c>
      <c r="H485" s="21">
        <v>-9947.7800000000007</v>
      </c>
      <c r="I485" s="22">
        <v>-24000</v>
      </c>
    </row>
    <row r="486" spans="1:9">
      <c r="A486">
        <v>854040</v>
      </c>
      <c r="B486" t="s">
        <v>2207</v>
      </c>
      <c r="C486" t="s">
        <v>872</v>
      </c>
      <c r="D486" t="s">
        <v>162</v>
      </c>
      <c r="E486" s="1">
        <v>-223303.96</v>
      </c>
      <c r="F486" s="16">
        <f t="shared" si="7"/>
        <v>-223304</v>
      </c>
      <c r="G486" s="21"/>
      <c r="H486" s="21"/>
      <c r="I486" s="22"/>
    </row>
    <row r="487" spans="1:9">
      <c r="A487">
        <v>854050</v>
      </c>
      <c r="B487" t="s">
        <v>1244</v>
      </c>
      <c r="C487" t="s">
        <v>872</v>
      </c>
      <c r="D487" t="s">
        <v>162</v>
      </c>
      <c r="E487" s="1">
        <v>-620225.25</v>
      </c>
      <c r="F487" s="16">
        <f t="shared" si="7"/>
        <v>-620225</v>
      </c>
      <c r="G487" s="21"/>
      <c r="H487" s="21">
        <v>620225</v>
      </c>
      <c r="I487" s="22"/>
    </row>
    <row r="488" spans="1:9">
      <c r="A488">
        <v>854060</v>
      </c>
      <c r="B488" t="s">
        <v>1246</v>
      </c>
      <c r="C488" t="s">
        <v>872</v>
      </c>
      <c r="D488" t="s">
        <v>162</v>
      </c>
      <c r="E488" s="1">
        <v>-74036.3</v>
      </c>
      <c r="F488" s="16">
        <f t="shared" si="7"/>
        <v>-74036</v>
      </c>
      <c r="G488" s="21"/>
      <c r="H488" s="21"/>
      <c r="I488" s="22"/>
    </row>
    <row r="489" spans="1:9">
      <c r="A489">
        <v>854070</v>
      </c>
      <c r="B489" t="s">
        <v>1248</v>
      </c>
      <c r="C489" t="s">
        <v>872</v>
      </c>
      <c r="D489" t="s">
        <v>162</v>
      </c>
      <c r="E489">
        <v>0</v>
      </c>
      <c r="F489" s="16">
        <f t="shared" si="7"/>
        <v>0</v>
      </c>
      <c r="G489" s="21"/>
      <c r="H489" s="21"/>
      <c r="I489" s="22"/>
    </row>
    <row r="490" spans="1:9">
      <c r="A490">
        <v>854199</v>
      </c>
      <c r="B490" t="s">
        <v>1250</v>
      </c>
      <c r="C490" t="s">
        <v>872</v>
      </c>
      <c r="D490" t="s">
        <v>169</v>
      </c>
      <c r="E490" s="1">
        <v>-1222394.57</v>
      </c>
      <c r="F490" s="16">
        <f t="shared" si="7"/>
        <v>-1222395</v>
      </c>
      <c r="G490" s="21"/>
      <c r="H490" s="21"/>
      <c r="I490" s="22"/>
    </row>
    <row r="491" spans="1:9">
      <c r="A491">
        <v>870000</v>
      </c>
      <c r="B491" t="s">
        <v>1253</v>
      </c>
      <c r="C491" t="s">
        <v>872</v>
      </c>
      <c r="D491" t="s">
        <v>157</v>
      </c>
      <c r="E491">
        <v>0</v>
      </c>
      <c r="F491" s="16">
        <f t="shared" si="7"/>
        <v>0</v>
      </c>
      <c r="G491" s="21"/>
      <c r="H491" s="21"/>
      <c r="I491" s="22"/>
    </row>
    <row r="492" spans="1:9">
      <c r="A492">
        <v>871000</v>
      </c>
      <c r="B492" t="s">
        <v>155</v>
      </c>
      <c r="C492" t="s">
        <v>872</v>
      </c>
      <c r="D492" t="s">
        <v>157</v>
      </c>
      <c r="E492">
        <v>0</v>
      </c>
      <c r="F492" s="16">
        <f t="shared" si="7"/>
        <v>0</v>
      </c>
      <c r="G492" s="21"/>
      <c r="H492" s="21"/>
      <c r="I492" s="22"/>
    </row>
    <row r="493" spans="1:9">
      <c r="A493">
        <v>871100</v>
      </c>
      <c r="B493" t="s">
        <v>1256</v>
      </c>
      <c r="C493" t="s">
        <v>872</v>
      </c>
      <c r="D493" t="s">
        <v>157</v>
      </c>
      <c r="E493">
        <v>0</v>
      </c>
      <c r="F493" s="16">
        <f t="shared" si="7"/>
        <v>0</v>
      </c>
      <c r="G493" s="21"/>
      <c r="H493" s="21"/>
      <c r="I493" s="22"/>
    </row>
    <row r="494" spans="1:9">
      <c r="A494">
        <v>871110</v>
      </c>
      <c r="B494" t="s">
        <v>1258</v>
      </c>
      <c r="C494" t="s">
        <v>872</v>
      </c>
      <c r="D494" t="s">
        <v>162</v>
      </c>
      <c r="E494" s="1">
        <v>-5302869.84</v>
      </c>
      <c r="F494" s="16">
        <f t="shared" si="7"/>
        <v>-5302870</v>
      </c>
      <c r="G494" s="21"/>
      <c r="H494" s="21"/>
      <c r="I494" s="22"/>
    </row>
    <row r="495" spans="1:9">
      <c r="A495">
        <v>871120</v>
      </c>
      <c r="B495" t="s">
        <v>1260</v>
      </c>
      <c r="C495" t="s">
        <v>872</v>
      </c>
      <c r="D495" t="s">
        <v>162</v>
      </c>
      <c r="E495" s="1">
        <v>-14394875</v>
      </c>
      <c r="F495" s="16">
        <f t="shared" si="7"/>
        <v>-14394875</v>
      </c>
      <c r="G495" s="21"/>
      <c r="H495" s="21"/>
      <c r="I495" s="22"/>
    </row>
    <row r="496" spans="1:9">
      <c r="A496">
        <v>871130</v>
      </c>
      <c r="B496" t="s">
        <v>2284</v>
      </c>
      <c r="C496" t="s">
        <v>872</v>
      </c>
      <c r="D496" t="s">
        <v>162</v>
      </c>
      <c r="E496" s="1">
        <v>-532500</v>
      </c>
      <c r="F496" s="16">
        <f t="shared" si="7"/>
        <v>-532500</v>
      </c>
      <c r="G496" s="21"/>
      <c r="H496" s="21"/>
      <c r="I496" s="22"/>
    </row>
    <row r="497" spans="1:9">
      <c r="A497">
        <v>871140</v>
      </c>
      <c r="B497" t="s">
        <v>1264</v>
      </c>
      <c r="C497" t="s">
        <v>872</v>
      </c>
      <c r="D497" t="s">
        <v>162</v>
      </c>
      <c r="E497" s="1">
        <v>-502951.02</v>
      </c>
      <c r="F497" s="16">
        <f t="shared" si="7"/>
        <v>-502951</v>
      </c>
      <c r="G497" s="21"/>
      <c r="H497" s="21"/>
      <c r="I497" s="22"/>
    </row>
    <row r="498" spans="1:9">
      <c r="A498">
        <v>871150</v>
      </c>
      <c r="B498" t="s">
        <v>2285</v>
      </c>
      <c r="C498" t="s">
        <v>872</v>
      </c>
      <c r="D498" t="s">
        <v>162</v>
      </c>
      <c r="E498" s="1">
        <v>-203125</v>
      </c>
      <c r="F498" s="16">
        <f t="shared" si="7"/>
        <v>-203125</v>
      </c>
      <c r="G498" s="21"/>
      <c r="H498" s="21"/>
      <c r="I498" s="22"/>
    </row>
    <row r="499" spans="1:9">
      <c r="A499">
        <v>871160</v>
      </c>
      <c r="B499" t="s">
        <v>1268</v>
      </c>
      <c r="C499" t="s">
        <v>872</v>
      </c>
      <c r="D499" t="s">
        <v>162</v>
      </c>
      <c r="E499" s="1">
        <v>-13125</v>
      </c>
      <c r="F499" s="16">
        <f t="shared" si="7"/>
        <v>-13125</v>
      </c>
      <c r="G499" s="21"/>
      <c r="H499" s="21"/>
      <c r="I499" s="22"/>
    </row>
    <row r="500" spans="1:9">
      <c r="A500">
        <v>871199</v>
      </c>
      <c r="B500" t="s">
        <v>1270</v>
      </c>
      <c r="C500" t="s">
        <v>872</v>
      </c>
      <c r="D500" t="s">
        <v>169</v>
      </c>
      <c r="E500" s="1">
        <v>-20949445.859999999</v>
      </c>
      <c r="F500" s="16">
        <f t="shared" si="7"/>
        <v>-20949446</v>
      </c>
      <c r="G500" s="21"/>
      <c r="H500" s="21"/>
      <c r="I500" s="22"/>
    </row>
    <row r="501" spans="1:9">
      <c r="A501">
        <v>871200</v>
      </c>
      <c r="B501" t="s">
        <v>189</v>
      </c>
      <c r="C501" t="s">
        <v>872</v>
      </c>
      <c r="D501" t="s">
        <v>157</v>
      </c>
      <c r="E501">
        <v>0</v>
      </c>
      <c r="F501" s="16">
        <f t="shared" si="7"/>
        <v>0</v>
      </c>
      <c r="G501" s="21"/>
      <c r="H501" s="21"/>
      <c r="I501" s="22"/>
    </row>
    <row r="502" spans="1:9">
      <c r="A502">
        <v>871210</v>
      </c>
      <c r="B502" t="s">
        <v>1110</v>
      </c>
      <c r="C502" t="s">
        <v>872</v>
      </c>
      <c r="D502" t="s">
        <v>162</v>
      </c>
      <c r="E502" s="1">
        <v>-3640117.12</v>
      </c>
      <c r="F502" s="16">
        <f t="shared" si="7"/>
        <v>-3640117</v>
      </c>
      <c r="G502" s="21"/>
      <c r="H502" s="21"/>
      <c r="I502" s="22"/>
    </row>
    <row r="503" spans="1:9">
      <c r="A503">
        <v>871220</v>
      </c>
      <c r="B503" t="s">
        <v>1275</v>
      </c>
      <c r="C503" t="s">
        <v>872</v>
      </c>
      <c r="D503" t="s">
        <v>162</v>
      </c>
      <c r="E503" s="1">
        <v>-592508</v>
      </c>
      <c r="F503" s="16">
        <f t="shared" si="7"/>
        <v>-592508</v>
      </c>
      <c r="G503" s="21"/>
      <c r="H503" s="21"/>
      <c r="I503" s="22"/>
    </row>
    <row r="504" spans="1:9">
      <c r="A504">
        <v>871230</v>
      </c>
      <c r="B504" t="s">
        <v>1277</v>
      </c>
      <c r="C504" t="s">
        <v>872</v>
      </c>
      <c r="D504" t="s">
        <v>162</v>
      </c>
      <c r="E504" s="1">
        <v>-54000</v>
      </c>
      <c r="F504" s="16">
        <f t="shared" si="7"/>
        <v>-54000</v>
      </c>
      <c r="G504" s="21"/>
      <c r="H504" s="21"/>
      <c r="I504" s="22"/>
    </row>
    <row r="505" spans="1:9">
      <c r="A505">
        <v>871240</v>
      </c>
      <c r="B505" t="s">
        <v>1279</v>
      </c>
      <c r="C505" t="s">
        <v>872</v>
      </c>
      <c r="D505" t="s">
        <v>162</v>
      </c>
      <c r="E505" s="1">
        <v>-511374.61</v>
      </c>
      <c r="F505" s="16">
        <f t="shared" si="7"/>
        <v>-511375</v>
      </c>
      <c r="G505" s="21"/>
      <c r="H505" s="21"/>
      <c r="I505" s="22"/>
    </row>
    <row r="506" spans="1:9">
      <c r="A506">
        <v>871250</v>
      </c>
      <c r="B506" t="s">
        <v>2268</v>
      </c>
      <c r="C506" t="s">
        <v>872</v>
      </c>
      <c r="D506" t="s">
        <v>162</v>
      </c>
      <c r="E506" s="1">
        <v>-109167.49</v>
      </c>
      <c r="F506" s="16">
        <f t="shared" si="7"/>
        <v>-109167</v>
      </c>
      <c r="G506" s="21"/>
      <c r="H506" s="21"/>
      <c r="I506" s="22"/>
    </row>
    <row r="507" spans="1:9">
      <c r="A507">
        <v>871299</v>
      </c>
      <c r="B507" t="s">
        <v>251</v>
      </c>
      <c r="C507" t="s">
        <v>872</v>
      </c>
      <c r="D507" t="s">
        <v>169</v>
      </c>
      <c r="E507" s="1">
        <v>-4907167.22</v>
      </c>
      <c r="F507" s="16">
        <f t="shared" si="7"/>
        <v>-4907167</v>
      </c>
      <c r="G507" s="21"/>
      <c r="H507" s="21"/>
      <c r="I507" s="22"/>
    </row>
    <row r="508" spans="1:9">
      <c r="A508">
        <v>871999</v>
      </c>
      <c r="B508" t="s">
        <v>278</v>
      </c>
      <c r="C508" t="s">
        <v>872</v>
      </c>
      <c r="D508" t="s">
        <v>169</v>
      </c>
      <c r="E508" s="1">
        <v>-25856613.079999998</v>
      </c>
      <c r="F508" s="16">
        <f t="shared" si="7"/>
        <v>-25856613</v>
      </c>
      <c r="G508" s="21"/>
      <c r="H508" s="21"/>
      <c r="I508" s="22"/>
    </row>
    <row r="509" spans="1:9">
      <c r="A509">
        <v>872000</v>
      </c>
      <c r="B509" t="s">
        <v>281</v>
      </c>
      <c r="C509" t="s">
        <v>872</v>
      </c>
      <c r="D509" t="s">
        <v>157</v>
      </c>
      <c r="E509">
        <v>0</v>
      </c>
      <c r="F509" s="16">
        <f t="shared" si="7"/>
        <v>0</v>
      </c>
      <c r="G509" s="21"/>
      <c r="H509" s="21"/>
      <c r="I509" s="22"/>
    </row>
    <row r="510" spans="1:9">
      <c r="A510">
        <v>872100</v>
      </c>
      <c r="B510" t="s">
        <v>1288</v>
      </c>
      <c r="C510" t="s">
        <v>872</v>
      </c>
      <c r="D510" t="s">
        <v>157</v>
      </c>
      <c r="E510">
        <v>0</v>
      </c>
      <c r="F510" s="16">
        <f t="shared" si="7"/>
        <v>0</v>
      </c>
      <c r="G510" s="21"/>
      <c r="H510" s="21"/>
      <c r="I510" s="22"/>
    </row>
    <row r="511" spans="1:9">
      <c r="A511">
        <v>872110</v>
      </c>
      <c r="B511" t="s">
        <v>47</v>
      </c>
      <c r="C511" t="s">
        <v>872</v>
      </c>
      <c r="D511" t="s">
        <v>162</v>
      </c>
      <c r="E511" s="1">
        <v>1130668.32</v>
      </c>
      <c r="F511" s="16">
        <f t="shared" si="7"/>
        <v>1130668</v>
      </c>
      <c r="G511" s="21"/>
      <c r="H511" s="21"/>
      <c r="I511" s="22"/>
    </row>
    <row r="512" spans="1:9">
      <c r="A512">
        <v>872113</v>
      </c>
      <c r="B512" t="s">
        <v>1219</v>
      </c>
      <c r="C512" t="s">
        <v>872</v>
      </c>
      <c r="D512" t="s">
        <v>162</v>
      </c>
      <c r="E512" s="1">
        <v>4866.22</v>
      </c>
      <c r="F512" s="16">
        <f t="shared" si="7"/>
        <v>4866</v>
      </c>
      <c r="G512" s="21"/>
      <c r="H512" s="21"/>
      <c r="I512" s="22"/>
    </row>
    <row r="513" spans="1:9">
      <c r="A513">
        <v>872120</v>
      </c>
      <c r="B513" t="s">
        <v>1293</v>
      </c>
      <c r="C513" t="s">
        <v>872</v>
      </c>
      <c r="D513" t="s">
        <v>162</v>
      </c>
      <c r="E513" s="1">
        <v>89485.04</v>
      </c>
      <c r="F513" s="16">
        <f t="shared" si="7"/>
        <v>89485</v>
      </c>
      <c r="G513" s="21"/>
      <c r="H513" s="21"/>
      <c r="I513" s="22"/>
    </row>
    <row r="514" spans="1:9">
      <c r="A514">
        <v>872130</v>
      </c>
      <c r="B514" t="s">
        <v>1295</v>
      </c>
      <c r="C514" t="s">
        <v>872</v>
      </c>
      <c r="D514" t="s">
        <v>162</v>
      </c>
      <c r="E514" s="1">
        <v>53719.86</v>
      </c>
      <c r="F514" s="16">
        <f t="shared" si="7"/>
        <v>53720</v>
      </c>
      <c r="G514" s="21"/>
      <c r="H514" s="21"/>
      <c r="I514" s="22"/>
    </row>
    <row r="515" spans="1:9">
      <c r="A515">
        <v>872140</v>
      </c>
      <c r="B515" t="s">
        <v>1297</v>
      </c>
      <c r="C515" t="s">
        <v>872</v>
      </c>
      <c r="D515" t="s">
        <v>162</v>
      </c>
      <c r="E515" s="1">
        <v>14795.19</v>
      </c>
      <c r="F515" s="16">
        <f t="shared" si="7"/>
        <v>14795</v>
      </c>
      <c r="G515" s="21"/>
      <c r="H515" s="21"/>
      <c r="I515" s="22"/>
    </row>
    <row r="516" spans="1:9">
      <c r="A516">
        <v>872150</v>
      </c>
      <c r="B516" t="s">
        <v>1299</v>
      </c>
      <c r="C516" t="s">
        <v>872</v>
      </c>
      <c r="D516" t="s">
        <v>162</v>
      </c>
      <c r="E516" s="1">
        <v>41178.519999999997</v>
      </c>
      <c r="F516" s="16">
        <f t="shared" si="7"/>
        <v>41179</v>
      </c>
      <c r="G516" s="21"/>
      <c r="H516" s="21"/>
      <c r="I516" s="22"/>
    </row>
    <row r="517" spans="1:9">
      <c r="A517">
        <v>872160</v>
      </c>
      <c r="B517" t="s">
        <v>1301</v>
      </c>
      <c r="C517" t="s">
        <v>872</v>
      </c>
      <c r="D517" t="s">
        <v>162</v>
      </c>
      <c r="E517" s="1">
        <v>155119.81</v>
      </c>
      <c r="F517" s="16">
        <f t="shared" ref="F517:F580" si="8">ROUND(E517,0)</f>
        <v>155120</v>
      </c>
      <c r="G517" s="21"/>
      <c r="H517" s="21"/>
      <c r="I517" s="22"/>
    </row>
    <row r="518" spans="1:9">
      <c r="A518">
        <v>872170</v>
      </c>
      <c r="B518" t="s">
        <v>1303</v>
      </c>
      <c r="C518" t="s">
        <v>872</v>
      </c>
      <c r="D518" t="s">
        <v>162</v>
      </c>
      <c r="E518" s="1">
        <v>661747.74</v>
      </c>
      <c r="F518" s="16">
        <f t="shared" si="8"/>
        <v>661748</v>
      </c>
      <c r="G518" s="21"/>
      <c r="H518" s="21"/>
      <c r="I518" s="22"/>
    </row>
    <row r="519" spans="1:9">
      <c r="A519">
        <v>872180</v>
      </c>
      <c r="B519" t="s">
        <v>664</v>
      </c>
      <c r="C519" t="s">
        <v>872</v>
      </c>
      <c r="D519" t="s">
        <v>162</v>
      </c>
      <c r="E519" s="1">
        <v>382913.92</v>
      </c>
      <c r="F519" s="16">
        <f t="shared" si="8"/>
        <v>382914</v>
      </c>
      <c r="G519" s="21"/>
      <c r="H519" s="21"/>
      <c r="I519" s="22"/>
    </row>
    <row r="520" spans="1:9">
      <c r="A520">
        <v>872190</v>
      </c>
      <c r="B520" t="s">
        <v>2286</v>
      </c>
      <c r="C520" t="s">
        <v>872</v>
      </c>
      <c r="D520" t="s">
        <v>162</v>
      </c>
      <c r="E520" s="1">
        <v>258259.56</v>
      </c>
      <c r="F520" s="16">
        <f t="shared" si="8"/>
        <v>258260</v>
      </c>
      <c r="G520" s="21"/>
      <c r="H520" s="21"/>
      <c r="I520" s="22"/>
    </row>
    <row r="521" spans="1:9">
      <c r="A521">
        <v>872200</v>
      </c>
      <c r="B521" t="s">
        <v>2287</v>
      </c>
      <c r="C521" t="s">
        <v>872</v>
      </c>
      <c r="D521" t="s">
        <v>162</v>
      </c>
      <c r="E521" s="1">
        <v>1447529.09</v>
      </c>
      <c r="F521" s="16">
        <f t="shared" si="8"/>
        <v>1447529</v>
      </c>
      <c r="G521" s="21"/>
      <c r="H521" s="21"/>
      <c r="I521" s="22"/>
    </row>
    <row r="522" spans="1:9">
      <c r="A522">
        <v>872210</v>
      </c>
      <c r="B522" t="s">
        <v>1310</v>
      </c>
      <c r="C522" t="s">
        <v>872</v>
      </c>
      <c r="D522" t="s">
        <v>162</v>
      </c>
      <c r="E522" s="1">
        <v>31379.48</v>
      </c>
      <c r="F522" s="16">
        <f t="shared" si="8"/>
        <v>31379</v>
      </c>
      <c r="G522" s="21"/>
      <c r="H522" s="21"/>
      <c r="I522" s="22"/>
    </row>
    <row r="523" spans="1:9">
      <c r="A523">
        <v>872220</v>
      </c>
      <c r="B523" t="s">
        <v>1314</v>
      </c>
      <c r="C523" t="s">
        <v>872</v>
      </c>
      <c r="D523" t="s">
        <v>162</v>
      </c>
      <c r="E523" s="1">
        <v>205044.74</v>
      </c>
      <c r="F523" s="16">
        <f t="shared" si="8"/>
        <v>205045</v>
      </c>
      <c r="G523" s="21"/>
      <c r="H523" s="21"/>
      <c r="I523" s="22"/>
    </row>
    <row r="524" spans="1:9">
      <c r="A524">
        <v>872230</v>
      </c>
      <c r="B524" t="s">
        <v>1316</v>
      </c>
      <c r="C524" t="s">
        <v>872</v>
      </c>
      <c r="D524" t="s">
        <v>162</v>
      </c>
      <c r="E524" s="1">
        <v>97517.66</v>
      </c>
      <c r="F524" s="16">
        <f t="shared" si="8"/>
        <v>97518</v>
      </c>
      <c r="G524" s="21"/>
      <c r="H524" s="21"/>
      <c r="I524" s="22"/>
    </row>
    <row r="525" spans="1:9">
      <c r="A525">
        <v>872240</v>
      </c>
      <c r="B525" t="s">
        <v>88</v>
      </c>
      <c r="C525" t="s">
        <v>872</v>
      </c>
      <c r="D525" t="s">
        <v>162</v>
      </c>
      <c r="E525" s="1">
        <v>27198.5</v>
      </c>
      <c r="F525" s="16">
        <f t="shared" si="8"/>
        <v>27199</v>
      </c>
      <c r="G525" s="21"/>
      <c r="H525" s="21"/>
      <c r="I525" s="22"/>
    </row>
    <row r="526" spans="1:9">
      <c r="A526">
        <v>872299</v>
      </c>
      <c r="B526" t="s">
        <v>1320</v>
      </c>
      <c r="C526" t="s">
        <v>872</v>
      </c>
      <c r="D526" t="s">
        <v>169</v>
      </c>
      <c r="E526" s="1">
        <v>4601423.6500000004</v>
      </c>
      <c r="F526" s="16">
        <f t="shared" si="8"/>
        <v>4601424</v>
      </c>
      <c r="G526" s="21"/>
      <c r="H526" s="21"/>
      <c r="I526" s="22"/>
    </row>
    <row r="527" spans="1:9">
      <c r="A527">
        <v>872300</v>
      </c>
      <c r="B527" t="s">
        <v>1323</v>
      </c>
      <c r="C527" t="s">
        <v>872</v>
      </c>
      <c r="D527" t="s">
        <v>157</v>
      </c>
      <c r="E527">
        <v>0</v>
      </c>
      <c r="F527" s="16">
        <f t="shared" si="8"/>
        <v>0</v>
      </c>
      <c r="G527" s="21"/>
      <c r="H527" s="21"/>
      <c r="I527" s="22"/>
    </row>
    <row r="528" spans="1:9">
      <c r="A528">
        <v>872310</v>
      </c>
      <c r="B528" t="s">
        <v>1325</v>
      </c>
      <c r="C528" t="s">
        <v>872</v>
      </c>
      <c r="D528" t="s">
        <v>162</v>
      </c>
      <c r="E528" s="1">
        <v>172532.74</v>
      </c>
      <c r="F528" s="16">
        <f t="shared" si="8"/>
        <v>172533</v>
      </c>
      <c r="G528" s="21"/>
      <c r="H528" s="21"/>
      <c r="I528" s="22"/>
    </row>
    <row r="529" spans="1:9">
      <c r="A529">
        <v>872320</v>
      </c>
      <c r="B529" t="s">
        <v>1327</v>
      </c>
      <c r="C529" t="s">
        <v>872</v>
      </c>
      <c r="D529" t="s">
        <v>162</v>
      </c>
      <c r="E529" s="1">
        <v>52750</v>
      </c>
      <c r="F529" s="16">
        <f t="shared" si="8"/>
        <v>52750</v>
      </c>
      <c r="G529" s="21"/>
      <c r="H529" s="21"/>
      <c r="I529" s="22"/>
    </row>
    <row r="530" spans="1:9">
      <c r="A530">
        <v>872330</v>
      </c>
      <c r="B530" t="s">
        <v>2288</v>
      </c>
      <c r="C530" t="s">
        <v>872</v>
      </c>
      <c r="D530" t="s">
        <v>162</v>
      </c>
      <c r="E530" s="1">
        <v>157545.84</v>
      </c>
      <c r="F530" s="16">
        <f t="shared" si="8"/>
        <v>157546</v>
      </c>
      <c r="G530" s="21"/>
      <c r="H530" s="21"/>
      <c r="I530" s="22"/>
    </row>
    <row r="531" spans="1:9">
      <c r="A531">
        <v>872350</v>
      </c>
      <c r="B531" t="s">
        <v>2289</v>
      </c>
      <c r="C531" t="s">
        <v>872</v>
      </c>
      <c r="D531" t="s">
        <v>162</v>
      </c>
      <c r="E531" s="1">
        <v>275627.65999999997</v>
      </c>
      <c r="F531" s="16">
        <f t="shared" si="8"/>
        <v>275628</v>
      </c>
      <c r="G531" s="21"/>
      <c r="H531" s="21"/>
      <c r="I531" s="22"/>
    </row>
    <row r="532" spans="1:9">
      <c r="A532">
        <v>872399</v>
      </c>
      <c r="B532" t="s">
        <v>1333</v>
      </c>
      <c r="C532" t="s">
        <v>872</v>
      </c>
      <c r="D532" t="s">
        <v>169</v>
      </c>
      <c r="E532" s="1">
        <v>658456.24</v>
      </c>
      <c r="F532" s="16">
        <f t="shared" si="8"/>
        <v>658456</v>
      </c>
      <c r="G532" s="21"/>
      <c r="H532" s="21"/>
      <c r="I532" s="22"/>
    </row>
    <row r="533" spans="1:9">
      <c r="A533">
        <v>872400</v>
      </c>
      <c r="B533" t="s">
        <v>1336</v>
      </c>
      <c r="C533" t="s">
        <v>872</v>
      </c>
      <c r="D533" t="s">
        <v>157</v>
      </c>
      <c r="E533">
        <v>0</v>
      </c>
      <c r="F533" s="16">
        <f t="shared" si="8"/>
        <v>0</v>
      </c>
      <c r="G533" s="21"/>
      <c r="H533" s="21"/>
      <c r="I533" s="22"/>
    </row>
    <row r="534" spans="1:9">
      <c r="A534">
        <v>872410</v>
      </c>
      <c r="B534" t="s">
        <v>1338</v>
      </c>
      <c r="C534" t="s">
        <v>872</v>
      </c>
      <c r="D534" t="s">
        <v>162</v>
      </c>
      <c r="E534" s="1">
        <v>1051459.25</v>
      </c>
      <c r="F534" s="16">
        <f t="shared" si="8"/>
        <v>1051459</v>
      </c>
      <c r="G534" s="21"/>
      <c r="H534" s="21"/>
      <c r="I534" s="22"/>
    </row>
    <row r="535" spans="1:9">
      <c r="A535">
        <v>872415</v>
      </c>
      <c r="B535" t="s">
        <v>1340</v>
      </c>
      <c r="C535" t="s">
        <v>872</v>
      </c>
      <c r="D535" t="s">
        <v>162</v>
      </c>
      <c r="E535" s="1">
        <v>1671096.61</v>
      </c>
      <c r="F535" s="16">
        <f t="shared" si="8"/>
        <v>1671097</v>
      </c>
      <c r="G535" s="21"/>
      <c r="H535" s="21"/>
      <c r="I535" s="22"/>
    </row>
    <row r="536" spans="1:9">
      <c r="A536">
        <v>872420</v>
      </c>
      <c r="B536" t="s">
        <v>1342</v>
      </c>
      <c r="C536" t="s">
        <v>872</v>
      </c>
      <c r="D536" t="s">
        <v>162</v>
      </c>
      <c r="E536" s="1">
        <v>188750</v>
      </c>
      <c r="F536" s="16">
        <f t="shared" si="8"/>
        <v>188750</v>
      </c>
      <c r="G536" s="21"/>
      <c r="H536" s="21"/>
      <c r="I536" s="22"/>
    </row>
    <row r="537" spans="1:9">
      <c r="A537">
        <v>872430</v>
      </c>
      <c r="B537" t="s">
        <v>1344</v>
      </c>
      <c r="C537" t="s">
        <v>872</v>
      </c>
      <c r="D537" t="s">
        <v>162</v>
      </c>
      <c r="E537" s="1">
        <v>902215.09</v>
      </c>
      <c r="F537" s="16">
        <f t="shared" si="8"/>
        <v>902215</v>
      </c>
      <c r="G537" s="21"/>
      <c r="H537" s="21"/>
      <c r="I537" s="22"/>
    </row>
    <row r="538" spans="1:9">
      <c r="A538">
        <v>872440</v>
      </c>
      <c r="B538" t="s">
        <v>1346</v>
      </c>
      <c r="C538" t="s">
        <v>872</v>
      </c>
      <c r="D538" t="s">
        <v>162</v>
      </c>
      <c r="E538" s="1">
        <v>625463.02</v>
      </c>
      <c r="F538" s="16">
        <f t="shared" si="8"/>
        <v>625463</v>
      </c>
      <c r="G538" s="21"/>
      <c r="H538" s="21"/>
      <c r="I538" s="22"/>
    </row>
    <row r="539" spans="1:9">
      <c r="A539">
        <v>872450</v>
      </c>
      <c r="B539" t="s">
        <v>1348</v>
      </c>
      <c r="C539" t="s">
        <v>872</v>
      </c>
      <c r="D539" t="s">
        <v>162</v>
      </c>
      <c r="E539" s="1">
        <v>107420.54</v>
      </c>
      <c r="F539" s="16">
        <f t="shared" si="8"/>
        <v>107421</v>
      </c>
      <c r="G539" s="21"/>
      <c r="H539" s="21"/>
      <c r="I539" s="22"/>
    </row>
    <row r="540" spans="1:9">
      <c r="A540">
        <v>872460</v>
      </c>
      <c r="B540" t="s">
        <v>1350</v>
      </c>
      <c r="C540" t="s">
        <v>872</v>
      </c>
      <c r="D540" t="s">
        <v>162</v>
      </c>
      <c r="E540" s="1">
        <v>192933.03</v>
      </c>
      <c r="F540" s="16">
        <f t="shared" si="8"/>
        <v>192933</v>
      </c>
      <c r="G540" s="21"/>
      <c r="H540" s="21"/>
      <c r="I540" s="22"/>
    </row>
    <row r="541" spans="1:9">
      <c r="A541">
        <v>872470</v>
      </c>
      <c r="B541" t="s">
        <v>1352</v>
      </c>
      <c r="C541" t="s">
        <v>872</v>
      </c>
      <c r="D541" t="s">
        <v>162</v>
      </c>
      <c r="E541">
        <v>0</v>
      </c>
      <c r="F541" s="16">
        <f t="shared" si="8"/>
        <v>0</v>
      </c>
      <c r="G541" s="21"/>
      <c r="H541" s="21"/>
      <c r="I541" s="22"/>
    </row>
    <row r="542" spans="1:9">
      <c r="A542">
        <v>872480</v>
      </c>
      <c r="B542" t="s">
        <v>1354</v>
      </c>
      <c r="C542" t="s">
        <v>872</v>
      </c>
      <c r="D542" t="s">
        <v>162</v>
      </c>
      <c r="E542" s="1">
        <v>26236.73</v>
      </c>
      <c r="F542" s="16">
        <f t="shared" si="8"/>
        <v>26237</v>
      </c>
      <c r="G542" s="21"/>
      <c r="H542" s="21"/>
      <c r="I542" s="22"/>
    </row>
    <row r="543" spans="1:9">
      <c r="A543">
        <v>872490</v>
      </c>
      <c r="B543" t="s">
        <v>1356</v>
      </c>
      <c r="C543" t="s">
        <v>872</v>
      </c>
      <c r="D543" t="s">
        <v>162</v>
      </c>
      <c r="E543" s="1">
        <v>67565.61</v>
      </c>
      <c r="F543" s="16">
        <f t="shared" si="8"/>
        <v>67566</v>
      </c>
      <c r="G543" s="21"/>
      <c r="H543" s="21"/>
      <c r="I543" s="22"/>
    </row>
    <row r="544" spans="1:9">
      <c r="A544">
        <v>872500</v>
      </c>
      <c r="B544" t="s">
        <v>1358</v>
      </c>
      <c r="C544" t="s">
        <v>872</v>
      </c>
      <c r="D544" t="s">
        <v>162</v>
      </c>
      <c r="E544" s="1">
        <v>112257</v>
      </c>
      <c r="F544" s="16">
        <f t="shared" si="8"/>
        <v>112257</v>
      </c>
      <c r="G544" s="21"/>
      <c r="H544" s="21"/>
      <c r="I544" s="22"/>
    </row>
    <row r="545" spans="1:9">
      <c r="A545">
        <v>872510</v>
      </c>
      <c r="B545" t="s">
        <v>1360</v>
      </c>
      <c r="C545" t="s">
        <v>872</v>
      </c>
      <c r="D545" t="s">
        <v>162</v>
      </c>
      <c r="E545" s="1">
        <v>717713.87</v>
      </c>
      <c r="F545" s="16">
        <f t="shared" si="8"/>
        <v>717714</v>
      </c>
      <c r="G545" s="21"/>
      <c r="H545" s="21"/>
      <c r="I545" s="22"/>
    </row>
    <row r="546" spans="1:9">
      <c r="A546">
        <v>872520</v>
      </c>
      <c r="B546" t="s">
        <v>1362</v>
      </c>
      <c r="C546" t="s">
        <v>872</v>
      </c>
      <c r="D546" t="s">
        <v>162</v>
      </c>
      <c r="E546" s="1">
        <v>1184458.08</v>
      </c>
      <c r="F546" s="16">
        <f t="shared" si="8"/>
        <v>1184458</v>
      </c>
      <c r="G546" s="21"/>
      <c r="H546" s="21"/>
      <c r="I546" s="22"/>
    </row>
    <row r="547" spans="1:9">
      <c r="A547">
        <v>872530</v>
      </c>
      <c r="B547" t="s">
        <v>1364</v>
      </c>
      <c r="C547" t="s">
        <v>872</v>
      </c>
      <c r="D547" t="s">
        <v>162</v>
      </c>
      <c r="E547" s="1">
        <v>2673.13</v>
      </c>
      <c r="F547" s="16">
        <f t="shared" si="8"/>
        <v>2673</v>
      </c>
      <c r="G547" s="21"/>
      <c r="H547" s="21"/>
      <c r="I547" s="22"/>
    </row>
    <row r="548" spans="1:9">
      <c r="A548">
        <v>872540</v>
      </c>
      <c r="B548" t="s">
        <v>2269</v>
      </c>
      <c r="C548" t="s">
        <v>872</v>
      </c>
      <c r="D548" t="s">
        <v>162</v>
      </c>
      <c r="E548" s="1">
        <v>1156095.31</v>
      </c>
      <c r="F548" s="16">
        <f t="shared" si="8"/>
        <v>1156095</v>
      </c>
      <c r="G548" s="21"/>
      <c r="H548" s="21"/>
      <c r="I548" s="22"/>
    </row>
    <row r="549" spans="1:9">
      <c r="A549">
        <v>872550</v>
      </c>
      <c r="B549" t="s">
        <v>495</v>
      </c>
      <c r="C549" t="s">
        <v>872</v>
      </c>
      <c r="D549" t="s">
        <v>162</v>
      </c>
      <c r="E549" s="1">
        <v>310176.75</v>
      </c>
      <c r="F549" s="16">
        <f t="shared" si="8"/>
        <v>310177</v>
      </c>
      <c r="G549" s="21"/>
      <c r="H549" s="21"/>
      <c r="I549" s="22"/>
    </row>
    <row r="550" spans="1:9">
      <c r="A550">
        <v>872560</v>
      </c>
      <c r="B550" t="s">
        <v>1369</v>
      </c>
      <c r="C550" t="s">
        <v>872</v>
      </c>
      <c r="D550" t="s">
        <v>162</v>
      </c>
      <c r="E550" s="1">
        <v>1394261.11</v>
      </c>
      <c r="F550" s="16">
        <f t="shared" si="8"/>
        <v>1394261</v>
      </c>
      <c r="G550" s="21"/>
      <c r="H550" s="21"/>
      <c r="I550" s="22"/>
    </row>
    <row r="551" spans="1:9">
      <c r="A551">
        <v>872570</v>
      </c>
      <c r="B551" t="s">
        <v>2290</v>
      </c>
      <c r="C551" t="s">
        <v>872</v>
      </c>
      <c r="D551" t="s">
        <v>162</v>
      </c>
      <c r="E551">
        <v>0</v>
      </c>
      <c r="F551" s="16">
        <f t="shared" si="8"/>
        <v>0</v>
      </c>
      <c r="G551" s="21"/>
      <c r="H551" s="21"/>
      <c r="I551" s="22"/>
    </row>
    <row r="552" spans="1:9">
      <c r="A552">
        <v>872580</v>
      </c>
      <c r="B552" t="s">
        <v>2291</v>
      </c>
      <c r="C552" t="s">
        <v>872</v>
      </c>
      <c r="D552" t="s">
        <v>162</v>
      </c>
      <c r="E552">
        <v>0</v>
      </c>
      <c r="F552" s="16">
        <f t="shared" si="8"/>
        <v>0</v>
      </c>
      <c r="G552" s="21"/>
      <c r="H552" s="21"/>
      <c r="I552" s="22"/>
    </row>
    <row r="553" spans="1:9">
      <c r="A553">
        <v>872599</v>
      </c>
      <c r="B553" t="s">
        <v>1374</v>
      </c>
      <c r="C553" t="s">
        <v>872</v>
      </c>
      <c r="D553" t="s">
        <v>169</v>
      </c>
      <c r="E553" s="1">
        <v>9710775.1300000008</v>
      </c>
      <c r="F553" s="16">
        <f t="shared" si="8"/>
        <v>9710775</v>
      </c>
      <c r="G553" s="21"/>
      <c r="H553" s="21"/>
      <c r="I553" s="22"/>
    </row>
    <row r="554" spans="1:9">
      <c r="A554">
        <v>872600</v>
      </c>
      <c r="B554" t="s">
        <v>1377</v>
      </c>
      <c r="C554" t="s">
        <v>872</v>
      </c>
      <c r="D554" t="s">
        <v>157</v>
      </c>
      <c r="E554">
        <v>0</v>
      </c>
      <c r="F554" s="16">
        <f t="shared" si="8"/>
        <v>0</v>
      </c>
      <c r="G554" s="21"/>
      <c r="H554" s="21"/>
      <c r="I554" s="22"/>
    </row>
    <row r="555" spans="1:9">
      <c r="A555">
        <v>872610</v>
      </c>
      <c r="B555" t="s">
        <v>2270</v>
      </c>
      <c r="C555" t="s">
        <v>872</v>
      </c>
      <c r="D555" t="s">
        <v>162</v>
      </c>
      <c r="E555" s="1">
        <v>5705548.3600000003</v>
      </c>
      <c r="F555" s="16">
        <f t="shared" si="8"/>
        <v>5705548</v>
      </c>
      <c r="G555" s="21"/>
      <c r="H555" s="21"/>
      <c r="I555" s="22"/>
    </row>
    <row r="556" spans="1:9">
      <c r="A556">
        <v>872699</v>
      </c>
      <c r="B556" t="s">
        <v>1381</v>
      </c>
      <c r="C556" t="s">
        <v>872</v>
      </c>
      <c r="D556" t="s">
        <v>169</v>
      </c>
      <c r="E556" s="1">
        <v>5705548.3600000003</v>
      </c>
      <c r="F556" s="16">
        <f t="shared" si="8"/>
        <v>5705548</v>
      </c>
      <c r="G556" s="21"/>
      <c r="H556" s="21"/>
      <c r="I556" s="22"/>
    </row>
    <row r="557" spans="1:9">
      <c r="A557">
        <v>872700</v>
      </c>
      <c r="B557" t="s">
        <v>1384</v>
      </c>
      <c r="C557" t="s">
        <v>872</v>
      </c>
      <c r="D557" t="s">
        <v>157</v>
      </c>
      <c r="E557">
        <v>0</v>
      </c>
      <c r="F557" s="16">
        <f t="shared" si="8"/>
        <v>0</v>
      </c>
      <c r="G557" s="21"/>
      <c r="H557" s="21"/>
      <c r="I557" s="22"/>
    </row>
    <row r="558" spans="1:9">
      <c r="A558">
        <v>872710</v>
      </c>
      <c r="B558" t="s">
        <v>2292</v>
      </c>
      <c r="C558" t="s">
        <v>872</v>
      </c>
      <c r="D558" t="s">
        <v>162</v>
      </c>
      <c r="E558" s="1">
        <v>2206165.39</v>
      </c>
      <c r="F558" s="16">
        <f t="shared" si="8"/>
        <v>2206165</v>
      </c>
      <c r="G558" s="21"/>
      <c r="H558" s="21"/>
      <c r="I558" s="22"/>
    </row>
    <row r="559" spans="1:9">
      <c r="A559">
        <v>872720</v>
      </c>
      <c r="B559" t="s">
        <v>2293</v>
      </c>
      <c r="C559" t="s">
        <v>872</v>
      </c>
      <c r="D559" t="s">
        <v>162</v>
      </c>
      <c r="E559" s="1">
        <v>54481.4</v>
      </c>
      <c r="F559" s="16">
        <f t="shared" si="8"/>
        <v>54481</v>
      </c>
      <c r="G559" s="21"/>
      <c r="H559" s="21"/>
      <c r="I559" s="22"/>
    </row>
    <row r="560" spans="1:9">
      <c r="A560">
        <v>872740</v>
      </c>
      <c r="B560" t="s">
        <v>1390</v>
      </c>
      <c r="C560" t="s">
        <v>872</v>
      </c>
      <c r="D560" t="s">
        <v>162</v>
      </c>
      <c r="E560" s="1">
        <v>191434.32</v>
      </c>
      <c r="F560" s="16">
        <f t="shared" si="8"/>
        <v>191434</v>
      </c>
      <c r="G560" s="21"/>
      <c r="H560" s="21"/>
      <c r="I560" s="22"/>
    </row>
    <row r="561" spans="1:9">
      <c r="A561">
        <v>872799</v>
      </c>
      <c r="B561" t="s">
        <v>1392</v>
      </c>
      <c r="C561" t="s">
        <v>872</v>
      </c>
      <c r="D561" t="s">
        <v>169</v>
      </c>
      <c r="E561" s="1">
        <v>2452081.11</v>
      </c>
      <c r="F561" s="16">
        <f t="shared" si="8"/>
        <v>2452081</v>
      </c>
      <c r="G561" s="21"/>
      <c r="H561" s="21"/>
      <c r="I561" s="22"/>
    </row>
    <row r="562" spans="1:9">
      <c r="A562">
        <v>872999</v>
      </c>
      <c r="B562" t="s">
        <v>1152</v>
      </c>
      <c r="C562" t="s">
        <v>872</v>
      </c>
      <c r="D562" t="s">
        <v>169</v>
      </c>
      <c r="E562" s="1">
        <v>23128284.489999998</v>
      </c>
      <c r="F562" s="16">
        <f t="shared" si="8"/>
        <v>23128284</v>
      </c>
      <c r="G562" s="21"/>
      <c r="H562" s="21"/>
      <c r="I562" s="22"/>
    </row>
    <row r="563" spans="1:9">
      <c r="A563">
        <v>879999</v>
      </c>
      <c r="B563" t="s">
        <v>1397</v>
      </c>
      <c r="C563" t="s">
        <v>872</v>
      </c>
      <c r="D563" t="s">
        <v>169</v>
      </c>
      <c r="E563" s="1">
        <v>-2728328.59</v>
      </c>
      <c r="F563" s="16">
        <f t="shared" si="8"/>
        <v>-2728329</v>
      </c>
      <c r="G563" s="21">
        <v>2728329</v>
      </c>
      <c r="H563" s="21"/>
      <c r="I563" s="22"/>
    </row>
    <row r="564" spans="1:9">
      <c r="A564">
        <v>900000</v>
      </c>
      <c r="B564" t="s">
        <v>1400</v>
      </c>
      <c r="C564" t="s">
        <v>872</v>
      </c>
      <c r="D564" t="s">
        <v>157</v>
      </c>
      <c r="E564">
        <v>0</v>
      </c>
      <c r="F564" s="16">
        <f t="shared" si="8"/>
        <v>0</v>
      </c>
      <c r="G564" s="21"/>
      <c r="H564" s="21"/>
      <c r="I564" s="22"/>
    </row>
    <row r="565" spans="1:9">
      <c r="A565">
        <v>900010</v>
      </c>
      <c r="B565" t="s">
        <v>1402</v>
      </c>
      <c r="C565" t="s">
        <v>872</v>
      </c>
      <c r="D565" t="s">
        <v>162</v>
      </c>
      <c r="E565">
        <v>0</v>
      </c>
      <c r="F565" s="16">
        <f t="shared" si="8"/>
        <v>0</v>
      </c>
      <c r="G565" s="21"/>
      <c r="H565" s="21"/>
      <c r="I565" s="22"/>
    </row>
    <row r="566" spans="1:9">
      <c r="A566">
        <v>900020</v>
      </c>
      <c r="B566" t="s">
        <v>1404</v>
      </c>
      <c r="C566" t="s">
        <v>872</v>
      </c>
      <c r="D566" t="s">
        <v>162</v>
      </c>
      <c r="E566">
        <v>0</v>
      </c>
      <c r="F566" s="16">
        <f t="shared" si="8"/>
        <v>0</v>
      </c>
      <c r="G566" s="21"/>
      <c r="H566" s="21"/>
      <c r="I566" s="22"/>
    </row>
    <row r="567" spans="1:9">
      <c r="A567">
        <v>900030</v>
      </c>
      <c r="B567" t="s">
        <v>1406</v>
      </c>
      <c r="C567" t="s">
        <v>872</v>
      </c>
      <c r="D567" t="s">
        <v>162</v>
      </c>
      <c r="E567">
        <v>764.73</v>
      </c>
      <c r="F567" s="16">
        <f t="shared" si="8"/>
        <v>765</v>
      </c>
      <c r="G567" s="21"/>
      <c r="H567" s="21"/>
      <c r="I567" s="22"/>
    </row>
    <row r="568" spans="1:9">
      <c r="A568">
        <v>900099</v>
      </c>
      <c r="B568" t="s">
        <v>1408</v>
      </c>
      <c r="C568" t="s">
        <v>872</v>
      </c>
      <c r="D568" t="s">
        <v>169</v>
      </c>
      <c r="E568">
        <v>764.73</v>
      </c>
      <c r="F568" s="16">
        <f t="shared" si="8"/>
        <v>765</v>
      </c>
      <c r="G568" s="21"/>
      <c r="H568" s="21"/>
      <c r="I568" s="22"/>
    </row>
    <row r="569" spans="1:9">
      <c r="A569">
        <v>900100</v>
      </c>
      <c r="B569" t="s">
        <v>1411</v>
      </c>
      <c r="C569" t="s">
        <v>872</v>
      </c>
      <c r="D569" t="s">
        <v>157</v>
      </c>
      <c r="E569">
        <v>0</v>
      </c>
      <c r="F569" s="16">
        <f t="shared" si="8"/>
        <v>0</v>
      </c>
      <c r="G569" s="21"/>
      <c r="H569" s="21"/>
      <c r="I569" s="22"/>
    </row>
    <row r="570" spans="1:9">
      <c r="A570">
        <v>900110</v>
      </c>
      <c r="B570" t="s">
        <v>1413</v>
      </c>
      <c r="C570" t="s">
        <v>872</v>
      </c>
      <c r="D570" t="s">
        <v>162</v>
      </c>
      <c r="E570">
        <v>0</v>
      </c>
      <c r="F570" s="16">
        <f t="shared" si="8"/>
        <v>0</v>
      </c>
      <c r="G570" s="21"/>
      <c r="H570" s="21"/>
      <c r="I570" s="22"/>
    </row>
    <row r="571" spans="1:9">
      <c r="A571">
        <v>900120</v>
      </c>
      <c r="B571" t="s">
        <v>1415</v>
      </c>
      <c r="C571" t="s">
        <v>872</v>
      </c>
      <c r="D571" t="s">
        <v>162</v>
      </c>
      <c r="E571" s="1">
        <v>2502.15</v>
      </c>
      <c r="F571" s="16">
        <f t="shared" si="8"/>
        <v>2502</v>
      </c>
      <c r="G571" s="21"/>
      <c r="H571" s="21"/>
      <c r="I571" s="22"/>
    </row>
    <row r="572" spans="1:9">
      <c r="A572">
        <v>900130</v>
      </c>
      <c r="B572" t="s">
        <v>1417</v>
      </c>
      <c r="C572" t="s">
        <v>872</v>
      </c>
      <c r="D572" t="s">
        <v>162</v>
      </c>
      <c r="E572" s="1">
        <v>-4015.75</v>
      </c>
      <c r="F572" s="16">
        <f t="shared" si="8"/>
        <v>-4016</v>
      </c>
      <c r="G572" s="21"/>
      <c r="H572" s="21"/>
      <c r="I572" s="22"/>
    </row>
    <row r="573" spans="1:9">
      <c r="A573">
        <v>900140</v>
      </c>
      <c r="B573" t="s">
        <v>515</v>
      </c>
      <c r="C573" t="s">
        <v>872</v>
      </c>
      <c r="D573" t="s">
        <v>162</v>
      </c>
      <c r="E573" s="1">
        <v>-1389000</v>
      </c>
      <c r="F573" s="16">
        <f t="shared" si="8"/>
        <v>-1389000</v>
      </c>
      <c r="G573" s="21"/>
      <c r="H573" s="21"/>
      <c r="I573" s="22"/>
    </row>
    <row r="574" spans="1:9">
      <c r="A574">
        <v>900199</v>
      </c>
      <c r="B574" t="s">
        <v>1420</v>
      </c>
      <c r="C574" t="s">
        <v>872</v>
      </c>
      <c r="D574" t="s">
        <v>169</v>
      </c>
      <c r="E574" s="1">
        <v>-1390513.6</v>
      </c>
      <c r="F574" s="16">
        <f t="shared" si="8"/>
        <v>-1390514</v>
      </c>
      <c r="G574" s="21"/>
      <c r="H574" s="21"/>
      <c r="I574" s="22"/>
    </row>
    <row r="575" spans="1:9">
      <c r="A575">
        <v>980000</v>
      </c>
      <c r="B575" t="s">
        <v>1423</v>
      </c>
      <c r="C575" t="s">
        <v>872</v>
      </c>
      <c r="D575" t="s">
        <v>157</v>
      </c>
      <c r="E575">
        <v>0</v>
      </c>
      <c r="F575" s="16">
        <f t="shared" si="8"/>
        <v>0</v>
      </c>
      <c r="G575" s="21"/>
      <c r="H575" s="21"/>
      <c r="I575" s="22"/>
    </row>
    <row r="576" spans="1:9">
      <c r="A576">
        <v>980010</v>
      </c>
      <c r="B576" t="s">
        <v>1425</v>
      </c>
      <c r="C576" t="s">
        <v>872</v>
      </c>
      <c r="D576" t="s">
        <v>162</v>
      </c>
      <c r="E576" s="1">
        <v>-1312.05</v>
      </c>
      <c r="F576" s="16">
        <f t="shared" si="8"/>
        <v>-1312</v>
      </c>
      <c r="G576" s="21"/>
      <c r="H576" s="21"/>
      <c r="I576" s="22"/>
    </row>
    <row r="577" spans="1:9">
      <c r="A577">
        <v>980020</v>
      </c>
      <c r="B577" t="s">
        <v>1427</v>
      </c>
      <c r="C577" t="s">
        <v>872</v>
      </c>
      <c r="D577" t="s">
        <v>162</v>
      </c>
      <c r="E577">
        <v>0</v>
      </c>
      <c r="F577" s="16">
        <f t="shared" si="8"/>
        <v>0</v>
      </c>
      <c r="G577" s="21"/>
      <c r="H577" s="21"/>
      <c r="I577" s="22"/>
    </row>
    <row r="578" spans="1:9">
      <c r="A578">
        <v>980030</v>
      </c>
      <c r="B578" t="s">
        <v>1429</v>
      </c>
      <c r="C578" t="s">
        <v>872</v>
      </c>
      <c r="D578" t="s">
        <v>162</v>
      </c>
      <c r="E578" s="1">
        <v>-36948.74</v>
      </c>
      <c r="F578" s="16">
        <f t="shared" si="8"/>
        <v>-36949</v>
      </c>
      <c r="G578" s="21"/>
      <c r="H578" s="21"/>
      <c r="I578" s="22"/>
    </row>
    <row r="579" spans="1:9">
      <c r="A579">
        <v>980040</v>
      </c>
      <c r="B579" t="s">
        <v>1431</v>
      </c>
      <c r="C579" t="s">
        <v>872</v>
      </c>
      <c r="D579" t="s">
        <v>162</v>
      </c>
      <c r="E579">
        <v>0</v>
      </c>
      <c r="F579" s="16">
        <f t="shared" si="8"/>
        <v>0</v>
      </c>
      <c r="G579" s="21"/>
      <c r="H579" s="21"/>
      <c r="I579" s="22"/>
    </row>
    <row r="580" spans="1:9">
      <c r="A580">
        <v>980070</v>
      </c>
      <c r="B580" t="s">
        <v>1433</v>
      </c>
      <c r="C580" t="s">
        <v>872</v>
      </c>
      <c r="D580" t="s">
        <v>162</v>
      </c>
      <c r="E580" s="1">
        <v>690048</v>
      </c>
      <c r="F580" s="16">
        <f t="shared" si="8"/>
        <v>690048</v>
      </c>
      <c r="G580" s="21"/>
      <c r="H580" s="21"/>
      <c r="I580" s="22"/>
    </row>
    <row r="581" spans="1:9">
      <c r="A581">
        <v>980080</v>
      </c>
      <c r="B581" t="s">
        <v>1435</v>
      </c>
      <c r="C581" t="s">
        <v>872</v>
      </c>
      <c r="D581" t="s">
        <v>162</v>
      </c>
      <c r="E581" s="1">
        <v>-712048.6</v>
      </c>
      <c r="F581" s="16">
        <f>ROUND(E581,0)</f>
        <v>-712049</v>
      </c>
      <c r="G581" s="21"/>
      <c r="H581" s="21"/>
      <c r="I581" s="22"/>
    </row>
    <row r="582" spans="1:9">
      <c r="A582">
        <v>988888</v>
      </c>
      <c r="B582" t="s">
        <v>1437</v>
      </c>
      <c r="C582" t="s">
        <v>872</v>
      </c>
      <c r="D582" t="s">
        <v>162</v>
      </c>
      <c r="E582" s="1">
        <v>5955</v>
      </c>
      <c r="F582" s="16">
        <f>ROUND(E582,0)</f>
        <v>5955</v>
      </c>
      <c r="G582" s="21"/>
      <c r="H582" s="21"/>
      <c r="I582" s="22"/>
    </row>
    <row r="583" spans="1:9">
      <c r="A583">
        <v>989999</v>
      </c>
      <c r="B583" t="s">
        <v>1439</v>
      </c>
      <c r="C583" t="s">
        <v>872</v>
      </c>
      <c r="D583" t="s">
        <v>169</v>
      </c>
      <c r="E583" s="1">
        <v>-54306.39</v>
      </c>
      <c r="F583" s="16">
        <f>ROUND(E583,0)</f>
        <v>-54306</v>
      </c>
      <c r="G583" s="21"/>
      <c r="H583" s="21"/>
      <c r="I583" s="22"/>
    </row>
    <row r="584" spans="1:9">
      <c r="A584">
        <v>999989</v>
      </c>
      <c r="B584" t="s">
        <v>1442</v>
      </c>
      <c r="C584" t="s">
        <v>872</v>
      </c>
      <c r="D584" t="s">
        <v>169</v>
      </c>
      <c r="E584" s="1">
        <v>-6850626.5800000001</v>
      </c>
      <c r="F584" s="16">
        <f>ROUND(E584,0)</f>
        <v>-6850627</v>
      </c>
      <c r="G584" s="21"/>
      <c r="H584" s="21"/>
      <c r="I584" s="22"/>
    </row>
    <row r="585" spans="1:9">
      <c r="A585">
        <v>999999</v>
      </c>
      <c r="B585" t="s">
        <v>1445</v>
      </c>
      <c r="C585" t="s">
        <v>872</v>
      </c>
      <c r="D585" t="s">
        <v>169</v>
      </c>
      <c r="E585" s="1">
        <v>-73636781</v>
      </c>
      <c r="F585" s="16">
        <f>ROUND(E585,0)</f>
        <v>-73636781</v>
      </c>
      <c r="G585" s="21"/>
      <c r="H585" s="21"/>
      <c r="I585" s="22"/>
    </row>
    <row r="586" spans="1:9">
      <c r="G586" s="3">
        <f>SUM(G1:G585)</f>
        <v>0</v>
      </c>
      <c r="H586" s="3">
        <f>SUM(H1:H585)</f>
        <v>0</v>
      </c>
      <c r="I586" s="3">
        <f>SUM(I1:I585)</f>
        <v>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K141"/>
  <sheetViews>
    <sheetView workbookViewId="0">
      <selection activeCell="E23" sqref="E23"/>
    </sheetView>
  </sheetViews>
  <sheetFormatPr baseColWidth="10" defaultColWidth="8.5" defaultRowHeight="14"/>
  <cols>
    <col min="1" max="1" width="13" bestFit="1" customWidth="1"/>
    <col min="2" max="2" width="30" bestFit="1" customWidth="1"/>
    <col min="3" max="3" width="14.5" bestFit="1" customWidth="1"/>
    <col min="4" max="4" width="15" bestFit="1" customWidth="1"/>
    <col min="5" max="5" width="12.5" bestFit="1" customWidth="1"/>
    <col min="6" max="6" width="18.5" bestFit="1" customWidth="1"/>
    <col min="7" max="8" width="12" bestFit="1" customWidth="1"/>
    <col min="9" max="10" width="9.5" bestFit="1" customWidth="1"/>
  </cols>
  <sheetData>
    <row r="3" spans="2:7">
      <c r="C3" s="7"/>
      <c r="D3" s="7"/>
      <c r="E3" s="7"/>
      <c r="F3" s="7"/>
      <c r="G3" s="7"/>
    </row>
    <row r="4" spans="2:7">
      <c r="C4" s="7"/>
      <c r="D4" s="7"/>
      <c r="E4" s="7"/>
      <c r="F4" s="7"/>
      <c r="G4" s="7"/>
    </row>
    <row r="5" spans="2:7">
      <c r="E5" s="1"/>
      <c r="G5" s="1"/>
    </row>
    <row r="6" spans="2:7">
      <c r="E6" s="1"/>
      <c r="G6" s="1"/>
    </row>
    <row r="7" spans="2:7">
      <c r="B7" s="5"/>
      <c r="C7" s="5"/>
      <c r="D7" s="5"/>
      <c r="E7" s="5"/>
      <c r="F7" s="5"/>
      <c r="G7" s="5"/>
    </row>
    <row r="8" spans="2:7">
      <c r="E8" s="1"/>
    </row>
    <row r="10" spans="2:7">
      <c r="C10" s="1"/>
      <c r="E10" s="1"/>
      <c r="F10" s="1"/>
      <c r="G10" s="1"/>
    </row>
    <row r="11" spans="2:7">
      <c r="E11" s="1"/>
      <c r="G11" s="1"/>
    </row>
    <row r="12" spans="2:7">
      <c r="C12" s="1"/>
      <c r="D12" s="1"/>
      <c r="E12" s="1"/>
      <c r="F12" s="1"/>
      <c r="G12" s="1"/>
    </row>
    <row r="13" spans="2:7">
      <c r="C13" s="1"/>
      <c r="D13" s="1"/>
      <c r="E13" s="1"/>
      <c r="F13" s="1"/>
      <c r="G13" s="1"/>
    </row>
    <row r="14" spans="2:7">
      <c r="E14" s="1"/>
      <c r="G14" s="1"/>
    </row>
    <row r="15" spans="2:7">
      <c r="C15" s="1"/>
      <c r="D15" s="1"/>
      <c r="E15" s="1"/>
      <c r="G15" s="1"/>
    </row>
    <row r="16" spans="2:7">
      <c r="C16" s="1"/>
      <c r="D16" s="1"/>
      <c r="E16" s="1"/>
      <c r="F16" s="1"/>
      <c r="G16" s="1"/>
    </row>
    <row r="17" spans="2:9">
      <c r="C17" s="1"/>
      <c r="E17" s="1"/>
      <c r="G17" s="1"/>
    </row>
    <row r="18" spans="2:9">
      <c r="C18" s="1"/>
      <c r="D18" s="1"/>
      <c r="G18" s="1"/>
      <c r="H18" s="1"/>
      <c r="I18" s="1"/>
    </row>
    <row r="19" spans="2:9">
      <c r="C19" s="1"/>
      <c r="D19" s="1"/>
      <c r="E19" s="1"/>
      <c r="F19" s="1"/>
      <c r="G19" s="1"/>
    </row>
    <row r="20" spans="2:9">
      <c r="C20" s="1"/>
      <c r="D20" s="1"/>
      <c r="E20" s="1"/>
      <c r="F20" s="1"/>
      <c r="G20" s="1"/>
    </row>
    <row r="21" spans="2:9">
      <c r="E21" s="1"/>
      <c r="G21" s="1"/>
    </row>
    <row r="22" spans="2:9">
      <c r="B22" s="5"/>
      <c r="C22" s="6"/>
      <c r="D22" s="6"/>
      <c r="E22" s="6"/>
      <c r="F22" s="6"/>
      <c r="G22" s="6"/>
    </row>
    <row r="23" spans="2:9">
      <c r="E23" s="1"/>
      <c r="G23" s="1"/>
    </row>
    <row r="24" spans="2:9">
      <c r="B24" s="5"/>
      <c r="C24" s="6"/>
      <c r="D24" s="6"/>
      <c r="E24" s="6"/>
      <c r="F24" s="6"/>
      <c r="G24" s="6"/>
    </row>
    <row r="25" spans="2:9">
      <c r="E25" s="1"/>
      <c r="G25" s="1"/>
    </row>
    <row r="26" spans="2:9">
      <c r="C26" s="1"/>
      <c r="D26" s="1"/>
      <c r="E26" s="1"/>
      <c r="F26" s="1"/>
    </row>
    <row r="28" spans="2:9">
      <c r="G28" s="2"/>
    </row>
    <row r="33" spans="2:6">
      <c r="B33" s="5"/>
      <c r="C33" s="8"/>
      <c r="D33" s="8"/>
      <c r="E33" s="1"/>
      <c r="F33" s="1"/>
    </row>
    <row r="34" spans="2:6">
      <c r="B34" s="5"/>
      <c r="C34" s="8"/>
      <c r="D34" s="8"/>
      <c r="E34" s="1"/>
      <c r="F34" s="1"/>
    </row>
    <row r="35" spans="2:6">
      <c r="C35" s="1"/>
    </row>
    <row r="36" spans="2:6">
      <c r="C36" s="1"/>
      <c r="D36" s="1"/>
      <c r="E36" s="1"/>
      <c r="F36" s="1"/>
    </row>
    <row r="37" spans="2:6">
      <c r="C37" s="1"/>
      <c r="D37" s="1"/>
    </row>
    <row r="38" spans="2:6">
      <c r="D38" s="1"/>
      <c r="F38" s="1"/>
    </row>
    <row r="39" spans="2:6">
      <c r="B39" s="5"/>
      <c r="C39" s="6"/>
      <c r="D39" s="6"/>
      <c r="E39" s="1"/>
      <c r="F39" s="1"/>
    </row>
    <row r="40" spans="2:6">
      <c r="D40" s="1"/>
    </row>
    <row r="41" spans="2:6">
      <c r="D41" s="1"/>
    </row>
    <row r="42" spans="2:6">
      <c r="D42" s="1"/>
      <c r="F42" s="1"/>
    </row>
    <row r="43" spans="2:6">
      <c r="D43" s="1"/>
      <c r="E43" s="1"/>
      <c r="F43" s="1"/>
    </row>
    <row r="44" spans="2:6">
      <c r="C44" s="1"/>
      <c r="D44" s="1"/>
      <c r="E44" s="1"/>
      <c r="F44" s="1"/>
    </row>
    <row r="45" spans="2:6">
      <c r="C45" s="1"/>
      <c r="D45" s="1"/>
      <c r="E45" s="1"/>
      <c r="F45" s="1"/>
    </row>
    <row r="46" spans="2:6">
      <c r="D46" s="1"/>
      <c r="F46" s="1"/>
    </row>
    <row r="47" spans="2:6">
      <c r="C47" s="1"/>
      <c r="D47" s="1"/>
      <c r="E47" s="1"/>
      <c r="F47" s="1"/>
    </row>
    <row r="48" spans="2:6">
      <c r="D48" s="1"/>
      <c r="F48" s="1"/>
    </row>
    <row r="49" spans="1:7">
      <c r="C49" s="1"/>
      <c r="D49" s="1"/>
      <c r="F49" s="1"/>
    </row>
    <row r="50" spans="1:7" s="5" customFormat="1">
      <c r="D50" s="6"/>
      <c r="E50" s="9"/>
      <c r="F50" s="9"/>
    </row>
    <row r="51" spans="1:7">
      <c r="C51" s="4"/>
    </row>
    <row r="52" spans="1:7">
      <c r="C52" s="13"/>
      <c r="D52" s="1"/>
      <c r="E52" s="1"/>
    </row>
    <row r="53" spans="1:7">
      <c r="C53" s="1"/>
      <c r="D53" s="1"/>
      <c r="E53" s="1"/>
      <c r="F53" s="1"/>
    </row>
    <row r="56" spans="1:7">
      <c r="C56" s="1"/>
      <c r="D56" s="1"/>
    </row>
    <row r="57" spans="1:7">
      <c r="B57" s="1"/>
    </row>
    <row r="58" spans="1:7" s="9" customFormat="1">
      <c r="A58" s="11"/>
      <c r="B58" s="12"/>
      <c r="G58" s="12"/>
    </row>
    <row r="59" spans="1:7">
      <c r="A59" s="10"/>
      <c r="G59" s="1"/>
    </row>
    <row r="60" spans="1:7">
      <c r="A60" s="10"/>
      <c r="G60" s="1"/>
    </row>
    <row r="61" spans="1:7">
      <c r="A61" s="10"/>
      <c r="G61" s="1"/>
    </row>
    <row r="62" spans="1:7">
      <c r="A62" s="10"/>
      <c r="G62" s="1"/>
    </row>
    <row r="63" spans="1:7">
      <c r="A63" s="10"/>
      <c r="G63" s="1"/>
    </row>
    <row r="64" spans="1:7">
      <c r="A64" s="10"/>
      <c r="G64" s="1"/>
    </row>
    <row r="65" spans="1:7">
      <c r="A65" s="10"/>
      <c r="G65" s="1"/>
    </row>
    <row r="66" spans="1:7">
      <c r="A66" s="10"/>
      <c r="G66" s="1"/>
    </row>
    <row r="67" spans="1:7">
      <c r="A67" s="10"/>
      <c r="G67" s="1"/>
    </row>
    <row r="68" spans="1:7">
      <c r="A68" s="10"/>
      <c r="G68" s="1"/>
    </row>
    <row r="69" spans="1:7">
      <c r="A69" s="10"/>
      <c r="G69" s="1"/>
    </row>
    <row r="71" spans="1:7">
      <c r="G71" s="1"/>
    </row>
    <row r="74" spans="1:7">
      <c r="A74" s="10"/>
      <c r="G74" s="18"/>
    </row>
    <row r="75" spans="1:7">
      <c r="A75" s="10"/>
      <c r="G75" s="18"/>
    </row>
    <row r="76" spans="1:7">
      <c r="A76" s="10"/>
      <c r="G76" s="18"/>
    </row>
    <row r="77" spans="1:7">
      <c r="A77" s="10"/>
      <c r="G77" s="17"/>
    </row>
    <row r="78" spans="1:7">
      <c r="A78" s="10"/>
      <c r="G78" s="18"/>
    </row>
    <row r="79" spans="1:7">
      <c r="A79" s="10"/>
      <c r="G79" s="20"/>
    </row>
    <row r="80" spans="1:7">
      <c r="A80" s="10"/>
      <c r="G80" s="18"/>
    </row>
    <row r="81" spans="1:7">
      <c r="A81" s="10"/>
      <c r="G81" s="18"/>
    </row>
    <row r="82" spans="1:7">
      <c r="A82" s="10"/>
      <c r="G82" s="20"/>
    </row>
    <row r="83" spans="1:7">
      <c r="A83" s="10"/>
      <c r="G83" s="20"/>
    </row>
    <row r="84" spans="1:7">
      <c r="A84" s="10"/>
      <c r="G84" s="18"/>
    </row>
    <row r="85" spans="1:7">
      <c r="A85" s="10"/>
      <c r="G85" s="18"/>
    </row>
    <row r="86" spans="1:7">
      <c r="A86" s="10"/>
      <c r="G86" s="18"/>
    </row>
    <row r="87" spans="1:7">
      <c r="A87" s="10"/>
      <c r="G87" s="20"/>
    </row>
    <row r="88" spans="1:7">
      <c r="A88" s="10"/>
      <c r="G88" s="18"/>
    </row>
    <row r="89" spans="1:7">
      <c r="A89" s="10"/>
      <c r="G89" s="1"/>
    </row>
    <row r="90" spans="1:7">
      <c r="A90" s="10"/>
      <c r="G90" s="20"/>
    </row>
    <row r="91" spans="1:7">
      <c r="A91" s="10"/>
      <c r="G91" s="20"/>
    </row>
    <row r="92" spans="1:7">
      <c r="A92" s="10"/>
      <c r="G92" s="19"/>
    </row>
    <row r="93" spans="1:7">
      <c r="A93" s="10"/>
      <c r="G93" s="18"/>
    </row>
    <row r="95" spans="1:7">
      <c r="G95" s="1"/>
    </row>
    <row r="97" spans="3:11">
      <c r="G97" s="1"/>
    </row>
    <row r="99" spans="3:11">
      <c r="G99" s="1"/>
    </row>
    <row r="101" spans="3:11">
      <c r="G101" s="1"/>
    </row>
    <row r="103" spans="3:11">
      <c r="G103" s="1"/>
    </row>
    <row r="106" spans="3:11">
      <c r="E106" s="14"/>
      <c r="F106" s="14"/>
      <c r="G106" s="14"/>
      <c r="I106" s="14"/>
      <c r="K106" s="14"/>
    </row>
    <row r="107" spans="3:11">
      <c r="E107" s="14"/>
      <c r="F107" s="14"/>
      <c r="G107" s="14"/>
      <c r="I107" s="14"/>
      <c r="K107" s="14"/>
    </row>
    <row r="108" spans="3:11">
      <c r="C108" s="1"/>
      <c r="D108" s="1"/>
      <c r="E108" s="17"/>
      <c r="F108" s="17"/>
      <c r="G108" s="17"/>
      <c r="H108" s="1"/>
      <c r="I108" s="17"/>
      <c r="J108" s="1"/>
      <c r="K108" s="14"/>
    </row>
    <row r="109" spans="3:11">
      <c r="C109" s="1"/>
      <c r="E109" s="14"/>
      <c r="F109" s="14"/>
      <c r="G109" s="14"/>
      <c r="H109" s="1"/>
      <c r="I109" s="14"/>
      <c r="K109" s="14"/>
    </row>
    <row r="110" spans="3:11">
      <c r="C110" s="1"/>
      <c r="E110" s="14"/>
      <c r="F110" s="14"/>
      <c r="G110" s="14"/>
      <c r="I110" s="14"/>
      <c r="K110" s="14"/>
    </row>
    <row r="111" spans="3:11">
      <c r="C111" s="1"/>
      <c r="E111" s="17"/>
      <c r="F111" s="17"/>
      <c r="G111" s="17"/>
      <c r="H111" s="1"/>
      <c r="I111" s="14"/>
      <c r="J111" s="1"/>
      <c r="K111" s="17"/>
    </row>
    <row r="112" spans="3:11">
      <c r="C112" s="1"/>
      <c r="D112" s="1"/>
      <c r="E112" s="17"/>
      <c r="F112" s="17"/>
      <c r="G112" s="17"/>
      <c r="H112" s="1"/>
      <c r="I112" s="17"/>
      <c r="J112" s="1"/>
      <c r="K112" s="14"/>
    </row>
    <row r="113" spans="3:11">
      <c r="C113" s="1"/>
      <c r="D113" s="1"/>
      <c r="E113" s="17"/>
      <c r="F113" s="17"/>
      <c r="G113" s="17"/>
      <c r="H113" s="1"/>
      <c r="I113" s="17"/>
      <c r="J113" s="1"/>
      <c r="K113" s="14"/>
    </row>
    <row r="114" spans="3:11">
      <c r="C114" s="1"/>
      <c r="E114" s="17"/>
      <c r="F114" s="14"/>
      <c r="G114" s="17"/>
      <c r="H114" s="1"/>
      <c r="I114" s="14"/>
      <c r="K114" s="14"/>
    </row>
    <row r="115" spans="3:11">
      <c r="C115" s="1"/>
      <c r="E115" s="14"/>
      <c r="F115" s="14"/>
      <c r="G115" s="14"/>
      <c r="I115" s="14"/>
      <c r="K115" s="14"/>
    </row>
    <row r="116" spans="3:11">
      <c r="C116" s="1"/>
      <c r="E116" s="17"/>
      <c r="F116" s="14"/>
      <c r="G116" s="14"/>
      <c r="I116" s="14"/>
      <c r="K116" s="14"/>
    </row>
    <row r="117" spans="3:11">
      <c r="C117" s="1"/>
      <c r="D117" s="1"/>
      <c r="E117" s="17"/>
      <c r="F117" s="17"/>
      <c r="G117" s="17"/>
      <c r="H117" s="1"/>
      <c r="I117" s="17"/>
      <c r="J117" s="1"/>
      <c r="K117" s="14"/>
    </row>
    <row r="118" spans="3:11">
      <c r="C118" s="1"/>
      <c r="E118" s="14"/>
      <c r="F118" s="14"/>
      <c r="G118" s="14"/>
      <c r="I118" s="14"/>
      <c r="K118" s="14"/>
    </row>
    <row r="119" spans="3:11">
      <c r="C119" s="1"/>
      <c r="D119" s="1"/>
      <c r="E119" s="17"/>
      <c r="F119" s="17"/>
      <c r="G119" s="17"/>
      <c r="H119" s="1"/>
      <c r="I119" s="17"/>
      <c r="J119" s="1"/>
      <c r="K119" s="17"/>
    </row>
    <row r="125" spans="3:11">
      <c r="C125" s="1"/>
      <c r="D125" s="1"/>
      <c r="E125" s="1"/>
    </row>
    <row r="126" spans="3:11">
      <c r="C126" s="1"/>
      <c r="E126" s="1"/>
    </row>
    <row r="127" spans="3:11">
      <c r="C127" s="1"/>
      <c r="D127" s="1"/>
    </row>
    <row r="128" spans="3:11">
      <c r="C128" s="1"/>
      <c r="D128" s="1"/>
      <c r="E128" s="1"/>
    </row>
    <row r="129" spans="1:5">
      <c r="C129" s="1"/>
      <c r="D129" s="1"/>
      <c r="E129" s="1"/>
    </row>
    <row r="130" spans="1:5">
      <c r="C130" s="1"/>
      <c r="D130" s="1"/>
      <c r="E130" s="1"/>
    </row>
    <row r="131" spans="1:5">
      <c r="C131" s="1"/>
      <c r="D131" s="1"/>
      <c r="E131" s="1"/>
    </row>
    <row r="132" spans="1:5">
      <c r="C132" s="1"/>
      <c r="D132" s="1"/>
      <c r="E132" s="1"/>
    </row>
    <row r="133" spans="1:5">
      <c r="A133">
        <v>210100</v>
      </c>
      <c r="B133" t="s">
        <v>304</v>
      </c>
      <c r="C133" s="1">
        <v>-64875</v>
      </c>
      <c r="D133" s="1">
        <v>-64875</v>
      </c>
    </row>
    <row r="134" spans="1:5">
      <c r="A134">
        <v>210110</v>
      </c>
      <c r="B134" t="s">
        <v>306</v>
      </c>
      <c r="C134" s="1">
        <v>122508.23</v>
      </c>
      <c r="D134" s="1">
        <v>53035.22</v>
      </c>
      <c r="E134" s="1">
        <v>69473.009999999995</v>
      </c>
    </row>
    <row r="135" spans="1:5">
      <c r="A135">
        <v>210120</v>
      </c>
      <c r="B135" t="s">
        <v>2329</v>
      </c>
      <c r="C135" s="1">
        <v>-60250</v>
      </c>
      <c r="E135" s="1">
        <v>-60250</v>
      </c>
    </row>
    <row r="136" spans="1:5">
      <c r="A136">
        <v>211199</v>
      </c>
      <c r="B136" t="s">
        <v>312</v>
      </c>
      <c r="C136" s="1">
        <v>8395735.8499999996</v>
      </c>
      <c r="D136" s="1">
        <v>3302664.66</v>
      </c>
      <c r="E136" s="1">
        <v>5093071.1900000004</v>
      </c>
    </row>
    <row r="138" spans="1:5">
      <c r="B138" t="s">
        <v>2342</v>
      </c>
      <c r="D138" s="1">
        <f>+I119</f>
        <v>0</v>
      </c>
    </row>
    <row r="139" spans="1:5">
      <c r="B139" t="s">
        <v>2343</v>
      </c>
      <c r="D139" s="1">
        <f>+D136-D138</f>
        <v>3302664.66</v>
      </c>
    </row>
    <row r="140" spans="1:5">
      <c r="B140" t="s">
        <v>2344</v>
      </c>
      <c r="E140" s="1">
        <f>+G119+K119</f>
        <v>0</v>
      </c>
    </row>
    <row r="141" spans="1:5">
      <c r="B141" t="s">
        <v>2345</v>
      </c>
      <c r="E141" s="1">
        <f>+E136-E140</f>
        <v>5093071.1900000004</v>
      </c>
    </row>
  </sheetData>
  <phoneticPr fontId="14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91F36-84C9-407F-8087-24F92AA860F3}">
  <dimension ref="A1:Y140"/>
  <sheetViews>
    <sheetView zoomScale="110" zoomScaleNormal="110" zoomScaleSheetLayoutView="90" workbookViewId="0">
      <pane xSplit="9" ySplit="5" topLeftCell="O87" activePane="bottomRight" state="frozen"/>
      <selection pane="topRight" activeCell="J1" sqref="J1"/>
      <selection pane="bottomLeft" activeCell="A4" sqref="A4"/>
      <selection pane="bottomRight" activeCell="U61" sqref="U61"/>
    </sheetView>
  </sheetViews>
  <sheetFormatPr baseColWidth="10" defaultColWidth="15.5" defaultRowHeight="14"/>
  <cols>
    <col min="1" max="1" width="43.5" customWidth="1"/>
    <col min="2" max="6" width="6" hidden="1" customWidth="1"/>
    <col min="7" max="7" width="8" hidden="1" customWidth="1"/>
    <col min="8" max="8" width="6" hidden="1" customWidth="1"/>
    <col min="9" max="9" width="9.5" hidden="1" customWidth="1"/>
    <col min="10" max="10" width="9" customWidth="1"/>
    <col min="11" max="12" width="11.5" customWidth="1"/>
    <col min="13" max="15" width="12.5" customWidth="1"/>
    <col min="16" max="16" width="12" customWidth="1"/>
    <col min="17" max="17" width="12.5" customWidth="1"/>
    <col min="18" max="18" width="14.5" hidden="1" customWidth="1"/>
    <col min="19" max="19" width="53" hidden="1" customWidth="1"/>
    <col min="20" max="22" width="11.5" customWidth="1"/>
    <col min="23" max="23" width="57" style="266" hidden="1" customWidth="1"/>
  </cols>
  <sheetData>
    <row r="1" spans="1:23" ht="18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90"/>
      <c r="T1" s="147"/>
      <c r="U1" s="147"/>
      <c r="V1" s="147"/>
    </row>
    <row r="2" spans="1:23" ht="18">
      <c r="A2" s="311" t="s">
        <v>1447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90"/>
      <c r="T2" s="147"/>
      <c r="U2" s="147"/>
      <c r="V2" s="147"/>
    </row>
    <row r="3" spans="1:23" ht="18">
      <c r="A3" s="311" t="s">
        <v>1448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90"/>
      <c r="T3" s="147"/>
      <c r="U3" s="147"/>
      <c r="V3" s="147"/>
    </row>
    <row r="4" spans="1:23" ht="16">
      <c r="A4" s="23" t="s">
        <v>3</v>
      </c>
      <c r="B4" s="158" t="s">
        <v>4</v>
      </c>
      <c r="C4" s="159" t="s">
        <v>5</v>
      </c>
      <c r="D4" s="160" t="s">
        <v>4</v>
      </c>
      <c r="E4" s="161" t="s">
        <v>5</v>
      </c>
      <c r="F4" s="162" t="s">
        <v>4</v>
      </c>
      <c r="G4" s="163" t="s">
        <v>5</v>
      </c>
      <c r="H4" s="150" t="s">
        <v>4</v>
      </c>
      <c r="I4" s="164" t="s">
        <v>6</v>
      </c>
      <c r="J4" s="165" t="s">
        <v>7</v>
      </c>
      <c r="K4" s="166" t="s">
        <v>4</v>
      </c>
      <c r="L4" s="275" t="s">
        <v>6</v>
      </c>
      <c r="M4" s="167" t="s">
        <v>4</v>
      </c>
      <c r="N4" s="151" t="s">
        <v>1449</v>
      </c>
      <c r="O4" s="151" t="s">
        <v>8</v>
      </c>
      <c r="P4" s="151" t="s">
        <v>9</v>
      </c>
      <c r="Q4" s="167" t="s">
        <v>10</v>
      </c>
      <c r="R4" s="151" t="s">
        <v>11</v>
      </c>
      <c r="S4" s="199" t="s">
        <v>12</v>
      </c>
      <c r="T4" s="149" t="s">
        <v>1450</v>
      </c>
      <c r="U4" s="149" t="s">
        <v>1451</v>
      </c>
      <c r="V4" s="300" t="s">
        <v>1450</v>
      </c>
      <c r="W4" s="333" t="s">
        <v>12</v>
      </c>
    </row>
    <row r="5" spans="1:23" ht="12" customHeight="1">
      <c r="A5" s="168"/>
      <c r="B5" s="169">
        <v>2015</v>
      </c>
      <c r="C5" s="170">
        <v>2015</v>
      </c>
      <c r="D5" s="171">
        <v>2016</v>
      </c>
      <c r="E5" s="172">
        <v>2016</v>
      </c>
      <c r="F5" s="173">
        <v>2017</v>
      </c>
      <c r="G5" s="174">
        <v>2017</v>
      </c>
      <c r="H5" s="175">
        <v>2018</v>
      </c>
      <c r="I5" s="176">
        <v>2018</v>
      </c>
      <c r="J5" s="177" t="s">
        <v>14</v>
      </c>
      <c r="K5" s="178">
        <v>2019</v>
      </c>
      <c r="L5" s="276">
        <v>2019</v>
      </c>
      <c r="M5" s="179">
        <v>2020</v>
      </c>
      <c r="N5" s="355">
        <v>44090</v>
      </c>
      <c r="O5" s="313"/>
      <c r="P5" s="313" t="s">
        <v>15</v>
      </c>
      <c r="Q5" s="179">
        <v>2020</v>
      </c>
      <c r="R5" s="153" t="s">
        <v>16</v>
      </c>
      <c r="S5" s="90"/>
      <c r="T5" s="295">
        <v>2021</v>
      </c>
      <c r="U5" s="295">
        <v>2021</v>
      </c>
      <c r="V5" s="301">
        <v>2022</v>
      </c>
    </row>
    <row r="6" spans="1:23" ht="12" customHeight="1">
      <c r="A6" s="90"/>
      <c r="B6" s="180"/>
      <c r="C6" s="181"/>
      <c r="D6" s="182"/>
      <c r="E6" s="183"/>
      <c r="F6" s="184"/>
      <c r="G6" s="185"/>
      <c r="H6" s="186"/>
      <c r="I6" s="187"/>
      <c r="J6" s="188"/>
      <c r="K6" s="189"/>
      <c r="L6" s="277"/>
      <c r="M6" s="190"/>
      <c r="N6" s="155"/>
      <c r="O6" s="197"/>
      <c r="P6" s="197"/>
      <c r="Q6" s="190"/>
      <c r="R6" s="155"/>
      <c r="S6" s="90"/>
      <c r="T6" s="296"/>
      <c r="U6" s="296"/>
      <c r="V6" s="302"/>
    </row>
    <row r="7" spans="1:23" ht="12" customHeight="1">
      <c r="A7" s="90" t="s">
        <v>17</v>
      </c>
      <c r="B7" s="180">
        <v>7935</v>
      </c>
      <c r="C7" s="191">
        <v>7877</v>
      </c>
      <c r="D7" s="182">
        <v>8150</v>
      </c>
      <c r="E7" s="183">
        <v>8218</v>
      </c>
      <c r="F7" s="192">
        <v>8160</v>
      </c>
      <c r="G7" s="193">
        <v>8090</v>
      </c>
      <c r="H7" s="194">
        <v>8090</v>
      </c>
      <c r="I7" s="195">
        <v>7899089</v>
      </c>
      <c r="J7" s="188">
        <f>((I7/1000)+G7+E7+C7)/4</f>
        <v>8021.02225</v>
      </c>
      <c r="K7" s="196">
        <v>7928000</v>
      </c>
      <c r="L7" s="278">
        <v>7771971</v>
      </c>
      <c r="M7" s="198">
        <v>8200000</v>
      </c>
      <c r="N7" s="155">
        <f>-5927676.53*-1</f>
        <v>5927676.5300000003</v>
      </c>
      <c r="O7" s="197">
        <v>-300000</v>
      </c>
      <c r="P7" s="197"/>
      <c r="Q7" s="198">
        <f>M7+O7+P7</f>
        <v>7900000</v>
      </c>
      <c r="R7" s="197">
        <f>Q7-M7</f>
        <v>-300000</v>
      </c>
      <c r="S7" s="90"/>
      <c r="T7" s="234">
        <f>Budgetberegninger!C6</f>
        <v>8100000</v>
      </c>
      <c r="U7" s="234">
        <f>Budgetberegninger!C6</f>
        <v>8100000</v>
      </c>
      <c r="V7" s="303">
        <f>Budgetberegninger!D6</f>
        <v>8200000</v>
      </c>
      <c r="W7" s="344" t="s">
        <v>19</v>
      </c>
    </row>
    <row r="8" spans="1:23" ht="12" customHeight="1">
      <c r="A8" s="199" t="s">
        <v>20</v>
      </c>
      <c r="B8" s="200">
        <f t="shared" ref="B8:K8" si="0">SUM(B7)</f>
        <v>7935</v>
      </c>
      <c r="C8" s="201">
        <f t="shared" si="0"/>
        <v>7877</v>
      </c>
      <c r="D8" s="202">
        <f t="shared" si="0"/>
        <v>8150</v>
      </c>
      <c r="E8" s="203">
        <f t="shared" si="0"/>
        <v>8218</v>
      </c>
      <c r="F8" s="204">
        <f t="shared" si="0"/>
        <v>8160</v>
      </c>
      <c r="G8" s="205">
        <f t="shared" si="0"/>
        <v>8090</v>
      </c>
      <c r="H8" s="206">
        <f t="shared" si="0"/>
        <v>8090</v>
      </c>
      <c r="I8" s="207">
        <f t="shared" si="0"/>
        <v>7899089</v>
      </c>
      <c r="J8" s="208">
        <f>((I8/1000)+G8+E8+C8)/4</f>
        <v>8021.02225</v>
      </c>
      <c r="K8" s="209">
        <f t="shared" si="0"/>
        <v>7928000</v>
      </c>
      <c r="L8" s="279">
        <f>SUM(L7)</f>
        <v>7771971</v>
      </c>
      <c r="M8" s="211">
        <f>SUM(M7)</f>
        <v>8200000</v>
      </c>
      <c r="N8" s="214">
        <f>SUM(N7)</f>
        <v>5927676.5300000003</v>
      </c>
      <c r="O8" s="197"/>
      <c r="P8" s="197"/>
      <c r="Q8" s="211">
        <f>SUM(Q7)</f>
        <v>7900000</v>
      </c>
      <c r="R8" s="210">
        <f>Q8-M8</f>
        <v>-300000</v>
      </c>
      <c r="S8" s="90"/>
      <c r="T8" s="236">
        <f t="shared" ref="T8:V8" si="1">SUM(T7)</f>
        <v>8100000</v>
      </c>
      <c r="U8" s="236">
        <f t="shared" ref="U8" si="2">SUM(U7)</f>
        <v>8100000</v>
      </c>
      <c r="V8" s="304">
        <f t="shared" si="1"/>
        <v>8200000</v>
      </c>
    </row>
    <row r="9" spans="1:23" ht="12" customHeight="1">
      <c r="A9" s="90"/>
      <c r="B9" s="180"/>
      <c r="C9" s="181"/>
      <c r="D9" s="182"/>
      <c r="E9" s="183"/>
      <c r="F9" s="192"/>
      <c r="G9" s="193"/>
      <c r="H9" s="194"/>
      <c r="I9" s="195"/>
      <c r="J9" s="188"/>
      <c r="K9" s="196"/>
      <c r="L9" s="278"/>
      <c r="M9" s="198"/>
      <c r="N9" s="155"/>
      <c r="O9" s="197"/>
      <c r="P9" s="197"/>
      <c r="Q9" s="198"/>
      <c r="R9" s="197"/>
      <c r="S9" s="90"/>
      <c r="T9" s="234"/>
      <c r="U9" s="234"/>
      <c r="V9" s="303"/>
    </row>
    <row r="10" spans="1:23" ht="12" customHeight="1">
      <c r="A10" s="266" t="s">
        <v>21</v>
      </c>
      <c r="B10" s="180">
        <v>6700</v>
      </c>
      <c r="C10" s="191">
        <v>6659</v>
      </c>
      <c r="D10" s="182">
        <v>6700</v>
      </c>
      <c r="E10" s="183">
        <v>6373</v>
      </c>
      <c r="F10" s="192">
        <v>6700</v>
      </c>
      <c r="G10" s="193">
        <v>7008</v>
      </c>
      <c r="H10" s="194">
        <v>6700</v>
      </c>
      <c r="I10" s="195">
        <v>7262292</v>
      </c>
      <c r="J10" s="188">
        <f>((I10/1000)+G10+E10+C10)/4</f>
        <v>6825.5730000000003</v>
      </c>
      <c r="K10" s="196">
        <v>7200000</v>
      </c>
      <c r="L10" s="278">
        <v>7148832</v>
      </c>
      <c r="M10" s="198">
        <v>7400000</v>
      </c>
      <c r="N10" s="155">
        <v>0</v>
      </c>
      <c r="O10" s="197">
        <v>-251168</v>
      </c>
      <c r="P10" s="197"/>
      <c r="Q10" s="198">
        <f t="shared" ref="Q10:Q15" si="3">M10+O10+P10</f>
        <v>7148832</v>
      </c>
      <c r="R10" s="197">
        <f t="shared" ref="R10:R16" si="4">Q10-M10</f>
        <v>-251168</v>
      </c>
      <c r="S10" s="90" t="s">
        <v>1452</v>
      </c>
      <c r="T10" s="234">
        <v>7250000</v>
      </c>
      <c r="U10" s="234">
        <v>7250000</v>
      </c>
      <c r="V10" s="303">
        <v>7250000</v>
      </c>
    </row>
    <row r="11" spans="1:23" ht="12" customHeight="1">
      <c r="A11" s="90" t="s">
        <v>23</v>
      </c>
      <c r="B11" s="180">
        <v>250</v>
      </c>
      <c r="C11" s="191">
        <v>276</v>
      </c>
      <c r="D11" s="182">
        <v>250</v>
      </c>
      <c r="E11" s="183">
        <v>249</v>
      </c>
      <c r="F11" s="192">
        <v>250</v>
      </c>
      <c r="G11" s="193">
        <v>235</v>
      </c>
      <c r="H11" s="194">
        <v>250</v>
      </c>
      <c r="I11" s="195">
        <v>233383</v>
      </c>
      <c r="J11" s="188">
        <f>((I11/1000)+G11+E11+C11)/4</f>
        <v>248.34575000000001</v>
      </c>
      <c r="K11" s="196">
        <v>250000</v>
      </c>
      <c r="L11" s="278">
        <v>244095</v>
      </c>
      <c r="M11" s="198">
        <v>250000</v>
      </c>
      <c r="N11" s="155">
        <v>0</v>
      </c>
      <c r="O11" s="197"/>
      <c r="P11" s="197"/>
      <c r="Q11" s="198">
        <f t="shared" si="3"/>
        <v>250000</v>
      </c>
      <c r="R11" s="197">
        <f t="shared" si="4"/>
        <v>0</v>
      </c>
      <c r="S11" s="155"/>
      <c r="T11" s="234">
        <v>250000</v>
      </c>
      <c r="U11" s="234">
        <v>250000</v>
      </c>
      <c r="V11" s="303">
        <v>250000</v>
      </c>
    </row>
    <row r="12" spans="1:23" ht="12" customHeight="1">
      <c r="A12" s="90" t="s">
        <v>24</v>
      </c>
      <c r="B12" s="180">
        <v>550</v>
      </c>
      <c r="C12" s="191">
        <v>426</v>
      </c>
      <c r="D12" s="182">
        <v>550</v>
      </c>
      <c r="E12" s="183">
        <v>474</v>
      </c>
      <c r="F12" s="192">
        <v>550</v>
      </c>
      <c r="G12" s="193">
        <v>1771</v>
      </c>
      <c r="H12" s="194">
        <v>550</v>
      </c>
      <c r="I12" s="195">
        <v>13021</v>
      </c>
      <c r="J12" s="208"/>
      <c r="K12" s="209">
        <v>0</v>
      </c>
      <c r="L12" s="279">
        <v>19674</v>
      </c>
      <c r="M12" s="198"/>
      <c r="N12" s="155">
        <f>-10866.42*-1</f>
        <v>10866.42</v>
      </c>
      <c r="O12" s="197">
        <v>10000</v>
      </c>
      <c r="P12" s="197"/>
      <c r="Q12" s="198">
        <f t="shared" si="3"/>
        <v>10000</v>
      </c>
      <c r="R12" s="197">
        <f t="shared" si="4"/>
        <v>10000</v>
      </c>
      <c r="S12" s="90"/>
      <c r="T12" s="234">
        <v>0</v>
      </c>
      <c r="U12" s="234">
        <v>0</v>
      </c>
      <c r="V12" s="303">
        <v>0</v>
      </c>
      <c r="W12" s="155"/>
    </row>
    <row r="13" spans="1:23" ht="12" customHeight="1">
      <c r="A13" s="90" t="s">
        <v>25</v>
      </c>
      <c r="B13" s="180"/>
      <c r="C13" s="191"/>
      <c r="D13" s="182"/>
      <c r="E13" s="183"/>
      <c r="F13" s="192"/>
      <c r="G13" s="193"/>
      <c r="H13" s="194"/>
      <c r="I13" s="195">
        <v>468863</v>
      </c>
      <c r="J13" s="188">
        <f>((I13/1000)+G13+E13+C13)/4</f>
        <v>117.21575</v>
      </c>
      <c r="K13" s="196">
        <v>500000</v>
      </c>
      <c r="L13" s="278">
        <v>397575</v>
      </c>
      <c r="M13" s="198">
        <v>500000</v>
      </c>
      <c r="N13" s="155">
        <v>0</v>
      </c>
      <c r="O13" s="197">
        <v>-8325</v>
      </c>
      <c r="P13" s="197"/>
      <c r="Q13" s="198">
        <f t="shared" si="3"/>
        <v>491675</v>
      </c>
      <c r="R13" s="197">
        <f t="shared" si="4"/>
        <v>-8325</v>
      </c>
      <c r="S13" s="90" t="s">
        <v>26</v>
      </c>
      <c r="T13" s="234">
        <v>400000</v>
      </c>
      <c r="U13" s="234">
        <v>400000</v>
      </c>
      <c r="V13" s="303">
        <v>400000</v>
      </c>
      <c r="W13" s="266" t="s">
        <v>1453</v>
      </c>
    </row>
    <row r="14" spans="1:23" ht="12" customHeight="1">
      <c r="A14" s="90" t="s">
        <v>28</v>
      </c>
      <c r="B14" s="180"/>
      <c r="C14" s="191"/>
      <c r="D14" s="182"/>
      <c r="E14" s="183"/>
      <c r="F14" s="192"/>
      <c r="G14" s="193"/>
      <c r="H14" s="194"/>
      <c r="I14" s="195"/>
      <c r="J14" s="188"/>
      <c r="K14" s="196"/>
      <c r="L14" s="278"/>
      <c r="M14" s="198">
        <v>0</v>
      </c>
      <c r="N14" s="155">
        <v>0</v>
      </c>
      <c r="O14" s="197"/>
      <c r="P14" s="197">
        <v>625000</v>
      </c>
      <c r="Q14" s="198">
        <f t="shared" si="3"/>
        <v>625000</v>
      </c>
      <c r="R14" s="197">
        <f t="shared" si="4"/>
        <v>625000</v>
      </c>
      <c r="S14" s="90" t="s">
        <v>1454</v>
      </c>
      <c r="T14" s="234"/>
      <c r="U14" s="234"/>
      <c r="V14" s="303"/>
      <c r="W14" s="266" t="s">
        <v>1455</v>
      </c>
    </row>
    <row r="15" spans="1:23" ht="12" customHeight="1">
      <c r="A15" s="90" t="s">
        <v>30</v>
      </c>
      <c r="B15" s="180"/>
      <c r="C15" s="191"/>
      <c r="D15" s="182"/>
      <c r="E15" s="183"/>
      <c r="F15" s="192"/>
      <c r="G15" s="193"/>
      <c r="H15" s="194"/>
      <c r="I15" s="195"/>
      <c r="J15" s="188"/>
      <c r="K15" s="196"/>
      <c r="L15" s="278"/>
      <c r="M15" s="198">
        <v>0</v>
      </c>
      <c r="N15" s="155">
        <v>0</v>
      </c>
      <c r="O15" s="197"/>
      <c r="P15" s="197">
        <v>175000</v>
      </c>
      <c r="Q15" s="198">
        <f t="shared" si="3"/>
        <v>175000</v>
      </c>
      <c r="R15" s="197">
        <f t="shared" si="4"/>
        <v>175000</v>
      </c>
      <c r="S15" s="90" t="s">
        <v>1456</v>
      </c>
      <c r="T15" s="234"/>
      <c r="U15" s="234"/>
      <c r="V15" s="303"/>
      <c r="W15" s="266" t="s">
        <v>1455</v>
      </c>
    </row>
    <row r="16" spans="1:23" ht="12" customHeight="1">
      <c r="A16" s="199" t="s">
        <v>32</v>
      </c>
      <c r="B16" s="212">
        <f t="shared" ref="B16:H16" si="5">SUM(B10:B12)</f>
        <v>7500</v>
      </c>
      <c r="C16" s="201">
        <f t="shared" si="5"/>
        <v>7361</v>
      </c>
      <c r="D16" s="202">
        <f t="shared" si="5"/>
        <v>7500</v>
      </c>
      <c r="E16" s="203">
        <f t="shared" si="5"/>
        <v>7096</v>
      </c>
      <c r="F16" s="204">
        <f t="shared" si="5"/>
        <v>7500</v>
      </c>
      <c r="G16" s="205">
        <f t="shared" si="5"/>
        <v>9014</v>
      </c>
      <c r="H16" s="206">
        <f t="shared" si="5"/>
        <v>7500</v>
      </c>
      <c r="I16" s="207">
        <f>SUM(I10:I13)</f>
        <v>7977559</v>
      </c>
      <c r="J16" s="208">
        <f>((I16/1000)+G16+E16+C16)/4</f>
        <v>7862.1397500000003</v>
      </c>
      <c r="K16" s="209">
        <f>SUM(K10:K13)</f>
        <v>7950000</v>
      </c>
      <c r="L16" s="279">
        <f>SUM(L10:L13)</f>
        <v>7810176</v>
      </c>
      <c r="M16" s="211">
        <f>SUM(M10:M15)</f>
        <v>8150000</v>
      </c>
      <c r="N16" s="214">
        <f>SUM(N10:N15)</f>
        <v>10866.42</v>
      </c>
      <c r="O16" s="197"/>
      <c r="P16" s="197"/>
      <c r="Q16" s="211">
        <f>SUM(Q10:Q15)</f>
        <v>8700507</v>
      </c>
      <c r="R16" s="210">
        <f t="shared" si="4"/>
        <v>550507</v>
      </c>
      <c r="S16" s="90"/>
      <c r="T16" s="236">
        <f>SUM(T10:T15)</f>
        <v>7900000</v>
      </c>
      <c r="U16" s="236">
        <f>SUM(U10:U15)</f>
        <v>7900000</v>
      </c>
      <c r="V16" s="304">
        <f>SUM(V10:V15)</f>
        <v>7900000</v>
      </c>
    </row>
    <row r="17" spans="1:25" ht="12" customHeight="1">
      <c r="A17" s="199"/>
      <c r="B17" s="212"/>
      <c r="C17" s="213"/>
      <c r="D17" s="202"/>
      <c r="E17" s="203"/>
      <c r="F17" s="204"/>
      <c r="G17" s="205"/>
      <c r="H17" s="206"/>
      <c r="I17" s="207"/>
      <c r="J17" s="208"/>
      <c r="K17" s="209"/>
      <c r="L17" s="279"/>
      <c r="M17" s="211"/>
      <c r="N17" s="214"/>
      <c r="O17" s="197"/>
      <c r="P17" s="197"/>
      <c r="Q17" s="211"/>
      <c r="R17" s="197"/>
      <c r="S17" s="90"/>
      <c r="T17" s="236"/>
      <c r="U17" s="236"/>
      <c r="V17" s="304"/>
    </row>
    <row r="18" spans="1:25" ht="12" customHeight="1">
      <c r="A18" s="90" t="s">
        <v>33</v>
      </c>
      <c r="B18" s="180">
        <v>500</v>
      </c>
      <c r="C18" s="181">
        <v>209</v>
      </c>
      <c r="D18" s="182">
        <v>1000</v>
      </c>
      <c r="E18" s="183">
        <v>564</v>
      </c>
      <c r="F18" s="192">
        <v>1000</v>
      </c>
      <c r="G18" s="193">
        <v>644</v>
      </c>
      <c r="H18" s="194">
        <v>500</v>
      </c>
      <c r="I18" s="195">
        <v>-766533</v>
      </c>
      <c r="J18" s="188">
        <f>((I18/1000)+G18+E18+C18)/4</f>
        <v>162.61675</v>
      </c>
      <c r="K18" s="196">
        <v>500000</v>
      </c>
      <c r="L18" s="278">
        <v>130996</v>
      </c>
      <c r="M18" s="198">
        <v>500000</v>
      </c>
      <c r="N18" s="155">
        <v>0</v>
      </c>
      <c r="P18" s="197">
        <v>-750000</v>
      </c>
      <c r="Q18" s="198">
        <f>M18+O18+P18</f>
        <v>-250000</v>
      </c>
      <c r="R18" s="197">
        <f>Q18-M18</f>
        <v>-750000</v>
      </c>
      <c r="S18" s="90" t="s">
        <v>1457</v>
      </c>
      <c r="T18" s="234">
        <v>150000</v>
      </c>
      <c r="U18" s="234">
        <v>150000</v>
      </c>
      <c r="V18" s="303">
        <v>700000</v>
      </c>
      <c r="W18" s="350" t="s">
        <v>1458</v>
      </c>
    </row>
    <row r="19" spans="1:25" ht="12" customHeight="1">
      <c r="A19" s="90" t="s">
        <v>35</v>
      </c>
      <c r="B19" s="180">
        <v>0</v>
      </c>
      <c r="C19" s="181">
        <v>76</v>
      </c>
      <c r="D19" s="182">
        <v>0</v>
      </c>
      <c r="E19" s="183">
        <v>-4</v>
      </c>
      <c r="F19" s="192">
        <v>0</v>
      </c>
      <c r="G19" s="193">
        <v>57</v>
      </c>
      <c r="H19" s="194">
        <v>0</v>
      </c>
      <c r="I19" s="195">
        <v>954</v>
      </c>
      <c r="J19" s="188">
        <f>((I19/1000)+G19+E19+C19)/4</f>
        <v>32.488500000000002</v>
      </c>
      <c r="K19" s="196">
        <v>0</v>
      </c>
      <c r="L19" s="278">
        <v>148328</v>
      </c>
      <c r="M19" s="198"/>
      <c r="N19" s="155">
        <v>-17771.27</v>
      </c>
      <c r="O19" s="197"/>
      <c r="P19" s="197">
        <v>-30000</v>
      </c>
      <c r="Q19" s="198">
        <f>M19+O19+P19</f>
        <v>-30000</v>
      </c>
      <c r="R19" s="197">
        <f>Q19-M19</f>
        <v>-30000</v>
      </c>
      <c r="S19" s="90" t="s">
        <v>1459</v>
      </c>
      <c r="T19" s="234">
        <v>0</v>
      </c>
      <c r="U19" s="234">
        <v>0</v>
      </c>
      <c r="V19" s="303">
        <v>0</v>
      </c>
    </row>
    <row r="20" spans="1:25" ht="12" customHeight="1">
      <c r="A20" s="90" t="s">
        <v>37</v>
      </c>
      <c r="B20" s="180">
        <v>100</v>
      </c>
      <c r="C20" s="181">
        <v>100</v>
      </c>
      <c r="D20" s="182">
        <v>100</v>
      </c>
      <c r="E20" s="183">
        <v>155</v>
      </c>
      <c r="F20" s="192">
        <v>100</v>
      </c>
      <c r="G20" s="193">
        <v>93</v>
      </c>
      <c r="H20" s="194">
        <v>100</v>
      </c>
      <c r="I20" s="195">
        <v>100451</v>
      </c>
      <c r="J20" s="188">
        <f>((I20/1000)+G20+E20+C20)/4</f>
        <v>112.11275000000001</v>
      </c>
      <c r="K20" s="196">
        <v>100000</v>
      </c>
      <c r="L20" s="278">
        <v>100138</v>
      </c>
      <c r="M20" s="198">
        <v>100000</v>
      </c>
      <c r="N20" s="155">
        <v>-151458.75</v>
      </c>
      <c r="O20" s="197"/>
      <c r="P20" s="197"/>
      <c r="Q20" s="198">
        <f>M20+O20+P20</f>
        <v>100000</v>
      </c>
      <c r="R20" s="197">
        <f>Q20-M20</f>
        <v>0</v>
      </c>
      <c r="S20" s="90"/>
      <c r="T20" s="234">
        <v>100000</v>
      </c>
      <c r="U20" s="234">
        <v>100000</v>
      </c>
      <c r="V20" s="303">
        <v>100000</v>
      </c>
    </row>
    <row r="21" spans="1:25" ht="12" customHeight="1">
      <c r="A21" s="90" t="s">
        <v>39</v>
      </c>
      <c r="B21" s="180">
        <v>0</v>
      </c>
      <c r="C21" s="181">
        <v>408</v>
      </c>
      <c r="D21" s="182">
        <v>0</v>
      </c>
      <c r="E21" s="183">
        <v>471</v>
      </c>
      <c r="F21" s="192">
        <v>0</v>
      </c>
      <c r="G21" s="193">
        <v>73</v>
      </c>
      <c r="H21" s="194">
        <v>0</v>
      </c>
      <c r="I21" s="195">
        <v>1588099</v>
      </c>
      <c r="J21" s="188">
        <f>((I21/1000)+G21+E21+C21)/4</f>
        <v>635.02475000000004</v>
      </c>
      <c r="K21" s="196">
        <v>0</v>
      </c>
      <c r="L21" s="278">
        <v>1938595</v>
      </c>
      <c r="M21" s="198"/>
      <c r="N21" s="155">
        <f>-301099.41*-1</f>
        <v>301099.40999999997</v>
      </c>
      <c r="O21" s="197">
        <v>400000</v>
      </c>
      <c r="P21" s="197"/>
      <c r="Q21" s="198">
        <f>M21+O21+P21</f>
        <v>400000</v>
      </c>
      <c r="R21" s="197">
        <f>Q21-M21</f>
        <v>400000</v>
      </c>
      <c r="S21" s="90"/>
      <c r="T21" s="234">
        <v>0</v>
      </c>
      <c r="U21" s="234">
        <v>0</v>
      </c>
      <c r="V21" s="303">
        <v>0</v>
      </c>
    </row>
    <row r="22" spans="1:25" ht="12" customHeight="1">
      <c r="A22" s="266" t="s">
        <v>41</v>
      </c>
      <c r="B22" s="180"/>
      <c r="C22" s="181"/>
      <c r="D22" s="182"/>
      <c r="E22" s="183">
        <v>1014</v>
      </c>
      <c r="F22" s="192"/>
      <c r="G22" s="193">
        <v>-113</v>
      </c>
      <c r="H22" s="194"/>
      <c r="I22" s="195"/>
      <c r="J22" s="188"/>
      <c r="K22" s="196">
        <v>0</v>
      </c>
      <c r="L22" s="278">
        <v>0</v>
      </c>
      <c r="M22" s="198"/>
      <c r="N22" s="155"/>
      <c r="O22" s="197"/>
      <c r="P22" s="197"/>
      <c r="Q22" s="198">
        <f>M22+O22+P22</f>
        <v>0</v>
      </c>
      <c r="R22" s="197"/>
      <c r="S22" s="90"/>
      <c r="T22" s="234">
        <v>0</v>
      </c>
      <c r="U22" s="234">
        <v>0</v>
      </c>
      <c r="V22" s="303">
        <v>-800000</v>
      </c>
    </row>
    <row r="23" spans="1:25" ht="12" customHeight="1">
      <c r="A23" s="199" t="s">
        <v>42</v>
      </c>
      <c r="B23" s="212">
        <f t="shared" ref="B23:D23" si="6">SUM(B18:B22)</f>
        <v>600</v>
      </c>
      <c r="C23" s="201">
        <f t="shared" si="6"/>
        <v>793</v>
      </c>
      <c r="D23" s="202">
        <f t="shared" si="6"/>
        <v>1100</v>
      </c>
      <c r="E23" s="203">
        <f>SUM(E18:E22)</f>
        <v>2200</v>
      </c>
      <c r="F23" s="204">
        <f t="shared" ref="F23:K23" si="7">SUM(F18:F22)</f>
        <v>1100</v>
      </c>
      <c r="G23" s="205">
        <f t="shared" si="7"/>
        <v>754</v>
      </c>
      <c r="H23" s="206">
        <f t="shared" si="7"/>
        <v>600</v>
      </c>
      <c r="I23" s="207">
        <f t="shared" si="7"/>
        <v>922971</v>
      </c>
      <c r="J23" s="208">
        <f>((I23/1000)+G23+E23+C23)/4</f>
        <v>1167.4927499999999</v>
      </c>
      <c r="K23" s="209">
        <f t="shared" si="7"/>
        <v>600000</v>
      </c>
      <c r="L23" s="279">
        <f>SUM(L18:L22)</f>
        <v>2318057</v>
      </c>
      <c r="M23" s="211">
        <f>SUM(M18:M22)</f>
        <v>600000</v>
      </c>
      <c r="N23" s="214">
        <f>SUM(N18:N22)</f>
        <v>131869.38999999998</v>
      </c>
      <c r="O23" s="197"/>
      <c r="P23" s="197"/>
      <c r="Q23" s="211">
        <f>SUM(Q18:Q22)</f>
        <v>220000</v>
      </c>
      <c r="R23" s="210">
        <f>Q23-M23</f>
        <v>-380000</v>
      </c>
      <c r="S23" s="197">
        <f>P18+P19-P67-P76-1900000</f>
        <v>-3010000</v>
      </c>
      <c r="T23" s="236">
        <f>SUM(T18:T22)</f>
        <v>250000</v>
      </c>
      <c r="U23" s="236">
        <f>SUM(U18:U22)</f>
        <v>250000</v>
      </c>
      <c r="V23" s="304">
        <f>SUM(V18:V22)</f>
        <v>0</v>
      </c>
    </row>
    <row r="24" spans="1:25" ht="12" customHeight="1">
      <c r="A24" s="90"/>
      <c r="B24" s="180"/>
      <c r="C24" s="181"/>
      <c r="D24" s="182"/>
      <c r="E24" s="183"/>
      <c r="F24" s="192"/>
      <c r="G24" s="193"/>
      <c r="H24" s="194"/>
      <c r="I24" s="195"/>
      <c r="J24" s="188"/>
      <c r="K24" s="196"/>
      <c r="L24" s="278"/>
      <c r="M24" s="198"/>
      <c r="N24" s="155"/>
      <c r="O24" s="197"/>
      <c r="P24" s="197"/>
      <c r="Q24" s="198"/>
      <c r="R24" s="197"/>
      <c r="S24" s="197">
        <f>-P36-P37-P41-P46-P68+400000</f>
        <v>775000</v>
      </c>
      <c r="T24" s="234"/>
      <c r="U24" s="234"/>
      <c r="V24" s="303"/>
    </row>
    <row r="25" spans="1:25" ht="12" customHeight="1">
      <c r="A25" s="199" t="s">
        <v>43</v>
      </c>
      <c r="B25" s="212">
        <v>10</v>
      </c>
      <c r="C25" s="201">
        <v>143</v>
      </c>
      <c r="D25" s="202">
        <v>10</v>
      </c>
      <c r="E25" s="203">
        <v>108</v>
      </c>
      <c r="F25" s="204">
        <v>50</v>
      </c>
      <c r="G25" s="205">
        <v>42</v>
      </c>
      <c r="H25" s="206">
        <v>50</v>
      </c>
      <c r="I25" s="207">
        <v>61548</v>
      </c>
      <c r="J25" s="208">
        <f>((I25/1000)+G25+E25+C25)/4</f>
        <v>88.637</v>
      </c>
      <c r="K25" s="209">
        <v>50000</v>
      </c>
      <c r="L25" s="279">
        <v>72288</v>
      </c>
      <c r="M25" s="211">
        <v>50000</v>
      </c>
      <c r="N25" s="214">
        <f>-55466.5*-1</f>
        <v>55466.5</v>
      </c>
      <c r="O25" s="197">
        <v>5000</v>
      </c>
      <c r="P25" s="197"/>
      <c r="Q25" s="211">
        <f>M25+O25+P25</f>
        <v>55000</v>
      </c>
      <c r="R25" s="197">
        <f>Q25-M25</f>
        <v>5000</v>
      </c>
      <c r="S25" s="90"/>
      <c r="T25" s="236">
        <v>50000</v>
      </c>
      <c r="U25" s="236">
        <v>50000</v>
      </c>
      <c r="V25" s="304">
        <v>50000</v>
      </c>
    </row>
    <row r="26" spans="1:25" ht="12" customHeight="1">
      <c r="A26" s="90"/>
      <c r="B26" s="180"/>
      <c r="C26" s="181"/>
      <c r="D26" s="182"/>
      <c r="E26" s="183"/>
      <c r="F26" s="192"/>
      <c r="G26" s="193"/>
      <c r="H26" s="194"/>
      <c r="I26" s="195"/>
      <c r="J26" s="188"/>
      <c r="K26" s="196"/>
      <c r="L26" s="278"/>
      <c r="M26" s="198"/>
      <c r="N26" s="155"/>
      <c r="O26" s="155"/>
      <c r="P26" s="155"/>
      <c r="Q26" s="198"/>
      <c r="R26" s="197"/>
      <c r="S26" s="90"/>
      <c r="T26" s="234"/>
      <c r="U26" s="234"/>
      <c r="V26" s="303"/>
      <c r="Y26" s="3"/>
    </row>
    <row r="27" spans="1:25" ht="12" customHeight="1">
      <c r="A27" s="199" t="s">
        <v>44</v>
      </c>
      <c r="B27" s="200">
        <f t="shared" ref="B27:K27" si="8">+B8+B16+B23+B25</f>
        <v>16045</v>
      </c>
      <c r="C27" s="201">
        <f t="shared" si="8"/>
        <v>16174</v>
      </c>
      <c r="D27" s="202">
        <f t="shared" si="8"/>
        <v>16760</v>
      </c>
      <c r="E27" s="203">
        <f t="shared" si="8"/>
        <v>17622</v>
      </c>
      <c r="F27" s="204">
        <f t="shared" si="8"/>
        <v>16810</v>
      </c>
      <c r="G27" s="205">
        <f t="shared" si="8"/>
        <v>17900</v>
      </c>
      <c r="H27" s="206">
        <f t="shared" si="8"/>
        <v>16240</v>
      </c>
      <c r="I27" s="207">
        <f t="shared" si="8"/>
        <v>16861167</v>
      </c>
      <c r="J27" s="208">
        <f>((I27/1000)+G27+E27+C27)/4</f>
        <v>17139.29175</v>
      </c>
      <c r="K27" s="209">
        <f t="shared" si="8"/>
        <v>16528000</v>
      </c>
      <c r="L27" s="279">
        <f>+L25+L23+L16+L8</f>
        <v>17972492</v>
      </c>
      <c r="M27" s="211">
        <f>+M8+M16+M23+M25</f>
        <v>17000000</v>
      </c>
      <c r="N27" s="214">
        <f>+N8+N16+N23+N25</f>
        <v>6125878.8399999999</v>
      </c>
      <c r="O27" s="197">
        <f>SUM(O7:O26)</f>
        <v>-144493</v>
      </c>
      <c r="P27" s="197">
        <f>SUM(P7:P26)</f>
        <v>20000</v>
      </c>
      <c r="Q27" s="211">
        <f>+Q8+Q16+Q23+Q25</f>
        <v>16875507</v>
      </c>
      <c r="R27" s="197">
        <f>Q27-M27</f>
        <v>-124493</v>
      </c>
      <c r="S27" s="90"/>
      <c r="T27" s="236">
        <f>+T8+T16+T23+T25</f>
        <v>16300000</v>
      </c>
      <c r="U27" s="236">
        <f>+U8+U16+U23+U25</f>
        <v>16300000</v>
      </c>
      <c r="V27" s="304">
        <f>+V8+V16+V23+V25</f>
        <v>16150000</v>
      </c>
      <c r="Y27" s="3"/>
    </row>
    <row r="28" spans="1:25" ht="12" customHeight="1">
      <c r="A28" s="199" t="s">
        <v>45</v>
      </c>
      <c r="B28" s="200"/>
      <c r="C28" s="201"/>
      <c r="D28" s="202"/>
      <c r="E28" s="203"/>
      <c r="F28" s="204"/>
      <c r="G28" s="205"/>
      <c r="H28" s="206"/>
      <c r="I28" s="265">
        <f>I27-I21</f>
        <v>15273068</v>
      </c>
      <c r="J28" s="208"/>
      <c r="K28" s="209"/>
      <c r="L28" s="279">
        <f>L27-L21</f>
        <v>16033897</v>
      </c>
      <c r="M28" s="211">
        <f>M27-M21</f>
        <v>17000000</v>
      </c>
      <c r="N28" s="214">
        <f>N27-N21</f>
        <v>5824779.4299999997</v>
      </c>
      <c r="O28" s="214"/>
      <c r="P28" s="214"/>
      <c r="Q28" s="211">
        <f>Q27-Q21</f>
        <v>16475507</v>
      </c>
      <c r="R28" s="210">
        <f>Q28-M28</f>
        <v>-524493</v>
      </c>
      <c r="S28" s="90"/>
      <c r="T28" s="236"/>
      <c r="U28" s="236"/>
      <c r="V28" s="304"/>
      <c r="Y28" s="354"/>
    </row>
    <row r="29" spans="1:25" ht="12" customHeight="1">
      <c r="A29" s="199"/>
      <c r="B29" s="200"/>
      <c r="C29" s="214"/>
      <c r="D29" s="214"/>
      <c r="E29" s="214"/>
      <c r="F29" s="215"/>
      <c r="G29" s="214"/>
      <c r="H29" s="206"/>
      <c r="I29" s="214"/>
      <c r="J29" s="214"/>
      <c r="K29" s="214"/>
      <c r="L29" s="214"/>
      <c r="M29" s="214"/>
      <c r="N29" s="214"/>
      <c r="O29" s="214"/>
      <c r="P29" s="214"/>
      <c r="Q29" s="214"/>
      <c r="R29" s="210"/>
      <c r="S29" s="90"/>
      <c r="T29" s="214"/>
      <c r="U29" s="214"/>
      <c r="V29" s="214"/>
      <c r="Y29" s="354"/>
    </row>
    <row r="30" spans="1:25" ht="12" customHeight="1">
      <c r="A30" s="199"/>
      <c r="B30" s="200"/>
      <c r="C30" s="214"/>
      <c r="D30" s="214"/>
      <c r="E30" s="214"/>
      <c r="F30" s="215"/>
      <c r="G30" s="214"/>
      <c r="H30" s="206"/>
      <c r="I30" s="214"/>
      <c r="J30" s="214"/>
      <c r="K30" s="214"/>
      <c r="L30" s="214"/>
      <c r="M30" s="214"/>
      <c r="N30" s="214"/>
      <c r="O30" s="214"/>
      <c r="P30" s="214"/>
      <c r="Q30" s="214"/>
      <c r="R30" s="210"/>
      <c r="S30" s="90"/>
      <c r="T30" s="214"/>
      <c r="U30" s="214"/>
      <c r="V30" s="214"/>
    </row>
    <row r="31" spans="1:25" ht="12" customHeight="1">
      <c r="A31" s="90"/>
      <c r="B31" s="156"/>
      <c r="C31" s="90"/>
      <c r="D31" s="90"/>
      <c r="E31" s="90"/>
      <c r="F31" s="216"/>
      <c r="G31" s="90"/>
      <c r="H31" s="96"/>
      <c r="I31" s="90"/>
      <c r="J31" s="90"/>
      <c r="K31" s="90"/>
      <c r="L31" s="90"/>
      <c r="M31" s="90"/>
      <c r="N31" s="90"/>
      <c r="O31" s="90"/>
      <c r="P31" s="90"/>
      <c r="Q31" s="90"/>
      <c r="R31" s="197"/>
      <c r="S31" s="90"/>
      <c r="T31" s="90"/>
      <c r="U31" s="90"/>
      <c r="V31" s="90"/>
    </row>
    <row r="32" spans="1:25" ht="16">
      <c r="A32" s="23" t="s">
        <v>46</v>
      </c>
      <c r="B32" s="158" t="s">
        <v>4</v>
      </c>
      <c r="C32" s="159" t="s">
        <v>5</v>
      </c>
      <c r="D32" s="160" t="s">
        <v>4</v>
      </c>
      <c r="E32" s="161" t="s">
        <v>5</v>
      </c>
      <c r="F32" s="162" t="s">
        <v>4</v>
      </c>
      <c r="G32" s="163" t="s">
        <v>5</v>
      </c>
      <c r="H32" s="150" t="s">
        <v>4</v>
      </c>
      <c r="I32" s="164" t="s">
        <v>6</v>
      </c>
      <c r="J32" s="165" t="s">
        <v>7</v>
      </c>
      <c r="K32" s="166" t="s">
        <v>4</v>
      </c>
      <c r="L32" s="275" t="s">
        <v>6</v>
      </c>
      <c r="M32" s="167" t="s">
        <v>4</v>
      </c>
      <c r="N32" s="151" t="s">
        <v>1449</v>
      </c>
      <c r="O32" s="151" t="s">
        <v>8</v>
      </c>
      <c r="P32" s="151" t="s">
        <v>9</v>
      </c>
      <c r="Q32" s="167" t="s">
        <v>10</v>
      </c>
      <c r="R32" s="151" t="s">
        <v>11</v>
      </c>
      <c r="S32" s="90"/>
      <c r="T32" s="149" t="s">
        <v>4</v>
      </c>
      <c r="U32" s="149" t="s">
        <v>1451</v>
      </c>
      <c r="V32" s="300" t="s">
        <v>4</v>
      </c>
    </row>
    <row r="33" spans="1:23">
      <c r="A33" s="168"/>
      <c r="B33" s="169">
        <v>2015</v>
      </c>
      <c r="C33" s="170">
        <v>2015</v>
      </c>
      <c r="D33" s="171">
        <v>2016</v>
      </c>
      <c r="E33" s="172">
        <v>2016</v>
      </c>
      <c r="F33" s="173">
        <v>2017</v>
      </c>
      <c r="G33" s="174">
        <v>2017</v>
      </c>
      <c r="H33" s="175">
        <v>2018</v>
      </c>
      <c r="I33" s="176">
        <v>2018</v>
      </c>
      <c r="J33" s="177" t="s">
        <v>14</v>
      </c>
      <c r="K33" s="178">
        <v>2019</v>
      </c>
      <c r="L33" s="276">
        <v>2019</v>
      </c>
      <c r="M33" s="179">
        <v>2020</v>
      </c>
      <c r="N33" s="355">
        <v>44090</v>
      </c>
      <c r="O33" s="313"/>
      <c r="P33" s="313" t="s">
        <v>15</v>
      </c>
      <c r="Q33" s="179">
        <v>2020</v>
      </c>
      <c r="R33" s="153" t="s">
        <v>16</v>
      </c>
      <c r="S33" s="90"/>
      <c r="T33" s="295">
        <v>2021</v>
      </c>
      <c r="U33" s="295">
        <v>2021</v>
      </c>
      <c r="V33" s="301">
        <v>2022</v>
      </c>
    </row>
    <row r="34" spans="1:23" ht="12" customHeight="1">
      <c r="A34" s="90"/>
      <c r="B34" s="158"/>
      <c r="C34" s="159"/>
      <c r="D34" s="217"/>
      <c r="E34" s="218"/>
      <c r="F34" s="162"/>
      <c r="G34" s="163"/>
      <c r="H34" s="150"/>
      <c r="I34" s="164"/>
      <c r="J34" s="165"/>
      <c r="K34" s="166"/>
      <c r="L34" s="275"/>
      <c r="M34" s="219"/>
      <c r="N34" s="152"/>
      <c r="O34" s="152"/>
      <c r="P34" s="152"/>
      <c r="Q34" s="219"/>
      <c r="R34" s="152"/>
      <c r="S34" s="90"/>
      <c r="T34" s="149"/>
      <c r="U34" s="149"/>
      <c r="V34" s="300"/>
    </row>
    <row r="35" spans="1:23" ht="12" customHeight="1">
      <c r="A35" s="90" t="s">
        <v>47</v>
      </c>
      <c r="B35" s="180">
        <v>8600</v>
      </c>
      <c r="C35" s="181">
        <v>8377</v>
      </c>
      <c r="D35" s="182">
        <v>8750</v>
      </c>
      <c r="E35" s="183">
        <v>8660</v>
      </c>
      <c r="F35" s="192">
        <v>8950</v>
      </c>
      <c r="G35" s="193">
        <v>8799</v>
      </c>
      <c r="H35" s="220">
        <v>9050</v>
      </c>
      <c r="I35" s="221">
        <v>9082150</v>
      </c>
      <c r="J35" s="188">
        <f>((I35/1000)+G35+E35+C35)/4</f>
        <v>8729.5375000000004</v>
      </c>
      <c r="K35" s="222">
        <v>9200000</v>
      </c>
      <c r="L35" s="280">
        <v>9141385</v>
      </c>
      <c r="M35" s="224">
        <v>9350000</v>
      </c>
      <c r="N35" s="155">
        <v>5371643.3899999997</v>
      </c>
      <c r="O35" s="223"/>
      <c r="P35" s="223"/>
      <c r="Q35" s="198">
        <f>M35+O35+P35</f>
        <v>9350000</v>
      </c>
      <c r="R35" s="223">
        <f>Q35-M35</f>
        <v>0</v>
      </c>
      <c r="S35" s="90"/>
      <c r="T35" s="234">
        <v>9300000</v>
      </c>
      <c r="U35" s="234">
        <v>9300000</v>
      </c>
      <c r="V35" s="303">
        <v>9300000</v>
      </c>
    </row>
    <row r="36" spans="1:23" ht="12" customHeight="1">
      <c r="A36" s="90" t="s">
        <v>48</v>
      </c>
      <c r="B36" s="180">
        <v>650</v>
      </c>
      <c r="C36" s="181">
        <v>712</v>
      </c>
      <c r="D36" s="182">
        <v>650</v>
      </c>
      <c r="E36" s="183">
        <v>718</v>
      </c>
      <c r="F36" s="192">
        <v>650</v>
      </c>
      <c r="G36" s="193">
        <v>656</v>
      </c>
      <c r="H36" s="194">
        <v>650</v>
      </c>
      <c r="I36" s="195">
        <v>619733</v>
      </c>
      <c r="J36" s="188">
        <f>((I36/1000)+G36+E36+C36)/4</f>
        <v>676.43325000000004</v>
      </c>
      <c r="K36" s="196">
        <v>650000</v>
      </c>
      <c r="L36" s="278">
        <v>617959</v>
      </c>
      <c r="M36" s="198">
        <v>650000</v>
      </c>
      <c r="N36" s="155">
        <v>203883.96</v>
      </c>
      <c r="O36" s="223"/>
      <c r="P36" s="223">
        <v>-150000</v>
      </c>
      <c r="Q36" s="198">
        <f>M36+O36+P36</f>
        <v>500000</v>
      </c>
      <c r="R36" s="223">
        <f>Q36-M36</f>
        <v>-150000</v>
      </c>
      <c r="S36" s="90" t="s">
        <v>1460</v>
      </c>
      <c r="T36" s="234">
        <v>650000</v>
      </c>
      <c r="U36" s="234">
        <v>650000</v>
      </c>
      <c r="V36" s="303">
        <v>650000</v>
      </c>
    </row>
    <row r="37" spans="1:23" ht="12" customHeight="1">
      <c r="A37" s="90" t="s">
        <v>50</v>
      </c>
      <c r="B37" s="180">
        <v>250</v>
      </c>
      <c r="C37" s="181">
        <v>208</v>
      </c>
      <c r="D37" s="182">
        <v>250</v>
      </c>
      <c r="E37" s="183">
        <v>343</v>
      </c>
      <c r="F37" s="192">
        <v>250</v>
      </c>
      <c r="G37" s="193">
        <v>228</v>
      </c>
      <c r="H37" s="194">
        <v>250</v>
      </c>
      <c r="I37" s="195">
        <v>232366</v>
      </c>
      <c r="J37" s="188">
        <f>((I37/1000)+G37+E37+C37)/4</f>
        <v>252.8415</v>
      </c>
      <c r="K37" s="196">
        <v>250000</v>
      </c>
      <c r="L37" s="278">
        <v>273399</v>
      </c>
      <c r="M37" s="198">
        <v>250000</v>
      </c>
      <c r="N37" s="155">
        <v>59524.4</v>
      </c>
      <c r="O37" s="225"/>
      <c r="P37" s="223">
        <v>-100000</v>
      </c>
      <c r="Q37" s="198">
        <f>M37+O37+P37</f>
        <v>150000</v>
      </c>
      <c r="R37" s="223">
        <f>Q37-M37</f>
        <v>-100000</v>
      </c>
      <c r="S37" s="90" t="s">
        <v>1461</v>
      </c>
      <c r="T37" s="234">
        <v>300000</v>
      </c>
      <c r="U37" s="234">
        <v>300000</v>
      </c>
      <c r="V37" s="303">
        <v>300000</v>
      </c>
    </row>
    <row r="38" spans="1:23" ht="12" customHeight="1">
      <c r="A38" s="199" t="s">
        <v>52</v>
      </c>
      <c r="B38" s="212">
        <f>SUM(B35:B37)</f>
        <v>9500</v>
      </c>
      <c r="C38" s="201">
        <f t="shared" ref="C38:K38" si="9">SUM(C35:C37)</f>
        <v>9297</v>
      </c>
      <c r="D38" s="202">
        <f t="shared" si="9"/>
        <v>9650</v>
      </c>
      <c r="E38" s="203">
        <f t="shared" si="9"/>
        <v>9721</v>
      </c>
      <c r="F38" s="204">
        <f t="shared" si="9"/>
        <v>9850</v>
      </c>
      <c r="G38" s="226">
        <f t="shared" si="9"/>
        <v>9683</v>
      </c>
      <c r="H38" s="206">
        <f t="shared" si="9"/>
        <v>9950</v>
      </c>
      <c r="I38" s="207">
        <f t="shared" si="9"/>
        <v>9934249</v>
      </c>
      <c r="J38" s="208">
        <f>((I38/1000)+G38+E38+C38)/4</f>
        <v>9658.812249999999</v>
      </c>
      <c r="K38" s="209">
        <f t="shared" si="9"/>
        <v>10100000</v>
      </c>
      <c r="L38" s="279">
        <f>SUM(L35:L37)</f>
        <v>10032743</v>
      </c>
      <c r="M38" s="211">
        <f>SUM(M35:M37)</f>
        <v>10250000</v>
      </c>
      <c r="N38" s="214">
        <f>SUM(N35:N37)</f>
        <v>5635051.75</v>
      </c>
      <c r="O38" s="214"/>
      <c r="P38" s="214"/>
      <c r="Q38" s="211">
        <f t="shared" ref="Q38" si="10">SUM(Q35:Q37)</f>
        <v>10000000</v>
      </c>
      <c r="R38" s="214">
        <f>Q38-M38</f>
        <v>-250000</v>
      </c>
      <c r="S38" s="90"/>
      <c r="T38" s="236">
        <f>SUM(T35:T37)</f>
        <v>10250000</v>
      </c>
      <c r="U38" s="236">
        <f>SUM(U35:U37)</f>
        <v>10250000</v>
      </c>
      <c r="V38" s="304">
        <f>SUM(V35:V37)</f>
        <v>10250000</v>
      </c>
    </row>
    <row r="39" spans="1:23" ht="12" customHeight="1">
      <c r="A39" s="199"/>
      <c r="B39" s="212"/>
      <c r="C39" s="201"/>
      <c r="D39" s="202"/>
      <c r="E39" s="203"/>
      <c r="F39" s="204"/>
      <c r="G39" s="205"/>
      <c r="H39" s="206"/>
      <c r="I39" s="207"/>
      <c r="J39" s="208"/>
      <c r="K39" s="209"/>
      <c r="L39" s="279"/>
      <c r="M39" s="211"/>
      <c r="N39" s="214"/>
      <c r="O39" s="223"/>
      <c r="P39" s="223"/>
      <c r="Q39" s="211"/>
      <c r="R39" s="223"/>
      <c r="S39" s="90"/>
      <c r="T39" s="236"/>
      <c r="U39" s="236"/>
      <c r="V39" s="304"/>
    </row>
    <row r="40" spans="1:23" ht="12" customHeight="1">
      <c r="A40" s="90" t="s">
        <v>53</v>
      </c>
      <c r="B40" s="180">
        <v>150</v>
      </c>
      <c r="C40" s="181">
        <v>74</v>
      </c>
      <c r="D40" s="182">
        <v>350</v>
      </c>
      <c r="E40" s="183">
        <v>171</v>
      </c>
      <c r="F40" s="192">
        <v>250</v>
      </c>
      <c r="G40" s="193">
        <v>172</v>
      </c>
      <c r="H40" s="194">
        <v>250</v>
      </c>
      <c r="I40" s="195">
        <v>151740</v>
      </c>
      <c r="J40" s="188">
        <f>((I40/1000)+G40+E40+C40)/4</f>
        <v>142.185</v>
      </c>
      <c r="K40" s="196">
        <v>250000</v>
      </c>
      <c r="L40" s="278">
        <v>175767</v>
      </c>
      <c r="M40" s="198">
        <v>250000</v>
      </c>
      <c r="N40" s="155">
        <v>175457.19</v>
      </c>
      <c r="O40" s="223"/>
      <c r="P40" s="223"/>
      <c r="Q40" s="198">
        <f>M40+O40+P40</f>
        <v>250000</v>
      </c>
      <c r="R40" s="223">
        <f>Q40-M40</f>
        <v>0</v>
      </c>
      <c r="S40" s="90"/>
      <c r="T40" s="234">
        <v>300000</v>
      </c>
      <c r="U40" s="234">
        <v>300000</v>
      </c>
      <c r="V40" s="303">
        <v>325000</v>
      </c>
    </row>
    <row r="41" spans="1:23" ht="12" customHeight="1">
      <c r="A41" s="90" t="s">
        <v>54</v>
      </c>
      <c r="B41" s="180">
        <v>125</v>
      </c>
      <c r="C41" s="181">
        <v>252</v>
      </c>
      <c r="D41" s="182">
        <v>125</v>
      </c>
      <c r="E41" s="183">
        <v>299</v>
      </c>
      <c r="F41" s="192">
        <v>125</v>
      </c>
      <c r="G41" s="193">
        <v>189</v>
      </c>
      <c r="H41" s="194">
        <v>125</v>
      </c>
      <c r="I41" s="195">
        <v>174821</v>
      </c>
      <c r="J41" s="188">
        <f>((I41/1000)+G41+E41+C41)/4</f>
        <v>228.70525000000001</v>
      </c>
      <c r="K41" s="196">
        <v>150000</v>
      </c>
      <c r="L41" s="278">
        <v>159834</v>
      </c>
      <c r="M41" s="198">
        <v>150000</v>
      </c>
      <c r="N41" s="155">
        <v>64627.37</v>
      </c>
      <c r="O41" s="223"/>
      <c r="P41" s="223">
        <v>-25000</v>
      </c>
      <c r="Q41" s="198">
        <f>M41+O41+P41</f>
        <v>125000</v>
      </c>
      <c r="R41" s="223">
        <f>Q41-M41</f>
        <v>-25000</v>
      </c>
      <c r="S41" s="90"/>
      <c r="T41" s="234">
        <v>150000</v>
      </c>
      <c r="U41" s="234">
        <v>150000</v>
      </c>
      <c r="V41" s="303">
        <v>150000</v>
      </c>
    </row>
    <row r="42" spans="1:23" ht="12" customHeight="1">
      <c r="A42" s="227" t="s">
        <v>55</v>
      </c>
      <c r="B42" s="180">
        <v>0</v>
      </c>
      <c r="C42" s="181">
        <v>0</v>
      </c>
      <c r="D42" s="182">
        <v>0</v>
      </c>
      <c r="E42" s="183">
        <v>24</v>
      </c>
      <c r="F42" s="192">
        <v>0</v>
      </c>
      <c r="G42" s="193">
        <v>0</v>
      </c>
      <c r="H42" s="194">
        <v>0</v>
      </c>
      <c r="I42" s="195"/>
      <c r="J42" s="188">
        <f>((I42/1000)+G42+E42+C42)/4</f>
        <v>6</v>
      </c>
      <c r="K42" s="196">
        <v>0</v>
      </c>
      <c r="L42" s="278">
        <v>0</v>
      </c>
      <c r="M42" s="198"/>
      <c r="N42" s="155"/>
      <c r="O42" s="223"/>
      <c r="P42" s="223"/>
      <c r="Q42" s="198"/>
      <c r="R42" s="223">
        <f>Q42-M42</f>
        <v>0</v>
      </c>
      <c r="S42" s="90"/>
      <c r="T42" s="234">
        <v>0</v>
      </c>
      <c r="U42" s="234">
        <v>0</v>
      </c>
      <c r="V42" s="303">
        <v>0</v>
      </c>
    </row>
    <row r="43" spans="1:23" ht="12" customHeight="1">
      <c r="A43" s="90" t="s">
        <v>56</v>
      </c>
      <c r="B43" s="180">
        <v>50</v>
      </c>
      <c r="C43" s="181">
        <v>10</v>
      </c>
      <c r="D43" s="182">
        <v>50</v>
      </c>
      <c r="E43" s="183">
        <v>0</v>
      </c>
      <c r="F43" s="192">
        <v>25</v>
      </c>
      <c r="G43" s="193">
        <v>148</v>
      </c>
      <c r="H43" s="194">
        <v>25</v>
      </c>
      <c r="I43" s="195">
        <v>8000</v>
      </c>
      <c r="J43" s="188">
        <f>((I43/1000)+G43+E43+C43)/4</f>
        <v>41.5</v>
      </c>
      <c r="K43" s="196">
        <v>25000</v>
      </c>
      <c r="L43" s="278">
        <v>8215</v>
      </c>
      <c r="M43" s="198">
        <v>25000</v>
      </c>
      <c r="N43" s="155"/>
      <c r="O43" s="225"/>
      <c r="P43" s="225"/>
      <c r="Q43" s="198">
        <f>M43+O43+P43</f>
        <v>25000</v>
      </c>
      <c r="R43" s="225">
        <f>Q43-M43</f>
        <v>0</v>
      </c>
      <c r="S43" s="90"/>
      <c r="T43" s="234">
        <v>25000</v>
      </c>
      <c r="U43" s="234">
        <v>25000</v>
      </c>
      <c r="V43" s="303">
        <v>25000</v>
      </c>
    </row>
    <row r="44" spans="1:23" ht="12" customHeight="1">
      <c r="A44" s="199" t="s">
        <v>57</v>
      </c>
      <c r="B44" s="212">
        <f t="shared" ref="B44:E44" si="11">SUM(B40:B43)</f>
        <v>325</v>
      </c>
      <c r="C44" s="213">
        <f t="shared" si="11"/>
        <v>336</v>
      </c>
      <c r="D44" s="202">
        <f t="shared" si="11"/>
        <v>525</v>
      </c>
      <c r="E44" s="203">
        <f t="shared" si="11"/>
        <v>494</v>
      </c>
      <c r="F44" s="204">
        <f t="shared" ref="F44:K44" si="12">SUM(F40:F43)</f>
        <v>400</v>
      </c>
      <c r="G44" s="205">
        <f t="shared" si="12"/>
        <v>509</v>
      </c>
      <c r="H44" s="206">
        <f>SUM(H40:H43)</f>
        <v>400</v>
      </c>
      <c r="I44" s="207">
        <f>SUM(I40:I43)</f>
        <v>334561</v>
      </c>
      <c r="J44" s="208">
        <f>((I44/1000)+G44+E44+C44)/4</f>
        <v>418.39024999999998</v>
      </c>
      <c r="K44" s="209">
        <f t="shared" si="12"/>
        <v>425000</v>
      </c>
      <c r="L44" s="279">
        <f>SUM(L40:L43)</f>
        <v>343816</v>
      </c>
      <c r="M44" s="211">
        <f>SUM(M40:M43)</f>
        <v>425000</v>
      </c>
      <c r="N44" s="214">
        <f>SUM(N40:N43)</f>
        <v>240084.56</v>
      </c>
      <c r="O44" s="214"/>
      <c r="P44" s="214"/>
      <c r="Q44" s="211">
        <f t="shared" ref="Q44" si="13">SUM(Q40:Q43)</f>
        <v>400000</v>
      </c>
      <c r="R44" s="155">
        <f>Q44-M44</f>
        <v>-25000</v>
      </c>
      <c r="S44" s="90"/>
      <c r="T44" s="236">
        <f t="shared" ref="T44:V44" si="14">SUM(T40:T43)</f>
        <v>475000</v>
      </c>
      <c r="U44" s="236">
        <f t="shared" ref="U44" si="15">SUM(U40:U43)</f>
        <v>475000</v>
      </c>
      <c r="V44" s="304">
        <f t="shared" si="14"/>
        <v>500000</v>
      </c>
    </row>
    <row r="45" spans="1:23" ht="12" customHeight="1">
      <c r="A45" s="199"/>
      <c r="B45" s="212"/>
      <c r="C45" s="213"/>
      <c r="D45" s="202"/>
      <c r="E45" s="203"/>
      <c r="F45" s="204"/>
      <c r="G45" s="205"/>
      <c r="H45" s="206"/>
      <c r="I45" s="207"/>
      <c r="J45" s="208"/>
      <c r="K45" s="209"/>
      <c r="L45" s="279"/>
      <c r="M45" s="211"/>
      <c r="N45" s="214"/>
      <c r="O45" s="223"/>
      <c r="P45" s="223"/>
      <c r="Q45" s="211"/>
      <c r="R45" s="223"/>
      <c r="S45" s="90"/>
      <c r="T45" s="236"/>
      <c r="U45" s="236"/>
      <c r="V45" s="304"/>
    </row>
    <row r="46" spans="1:23" ht="12" customHeight="1">
      <c r="A46" t="s">
        <v>58</v>
      </c>
      <c r="B46" s="180">
        <v>300</v>
      </c>
      <c r="C46" s="181">
        <v>192</v>
      </c>
      <c r="D46" s="182">
        <v>500</v>
      </c>
      <c r="E46" s="183">
        <v>249</v>
      </c>
      <c r="F46" s="192">
        <v>400</v>
      </c>
      <c r="G46" s="193">
        <v>289</v>
      </c>
      <c r="H46" s="194">
        <v>400</v>
      </c>
      <c r="I46" s="195">
        <v>382533</v>
      </c>
      <c r="J46" s="188">
        <f>((I46/1000)+G46+E46+C46)/4</f>
        <v>278.13324999999998</v>
      </c>
      <c r="K46" s="196">
        <v>600000</v>
      </c>
      <c r="L46" s="278">
        <v>529235</v>
      </c>
      <c r="M46" s="198">
        <v>300000</v>
      </c>
      <c r="N46" s="155">
        <v>77788.28</v>
      </c>
      <c r="O46" s="225"/>
      <c r="P46" s="223">
        <v>-50000</v>
      </c>
      <c r="Q46" s="198">
        <f>M46+O46+P46</f>
        <v>250000</v>
      </c>
      <c r="R46" s="223">
        <f>Q46-M46</f>
        <v>-50000</v>
      </c>
      <c r="S46" s="90"/>
      <c r="T46" s="234">
        <f>300000+T107</f>
        <v>1515000</v>
      </c>
      <c r="U46" s="234">
        <f>300000+U107</f>
        <v>1515000</v>
      </c>
      <c r="V46" s="303">
        <f>300000+V107</f>
        <v>1905000</v>
      </c>
      <c r="W46" s="266" t="s">
        <v>59</v>
      </c>
    </row>
    <row r="47" spans="1:23" ht="12" customHeight="1">
      <c r="A47" s="199" t="s">
        <v>60</v>
      </c>
      <c r="B47" s="212">
        <f t="shared" ref="B47:K47" si="16">SUM(B46)</f>
        <v>300</v>
      </c>
      <c r="C47" s="213">
        <f t="shared" si="16"/>
        <v>192</v>
      </c>
      <c r="D47" s="202">
        <f t="shared" si="16"/>
        <v>500</v>
      </c>
      <c r="E47" s="203">
        <f t="shared" si="16"/>
        <v>249</v>
      </c>
      <c r="F47" s="204">
        <f t="shared" si="16"/>
        <v>400</v>
      </c>
      <c r="G47" s="228">
        <f t="shared" si="16"/>
        <v>289</v>
      </c>
      <c r="H47" s="229">
        <f t="shared" si="16"/>
        <v>400</v>
      </c>
      <c r="I47" s="207">
        <f t="shared" si="16"/>
        <v>382533</v>
      </c>
      <c r="J47" s="208">
        <f>((I47/1000)+G47+E47+C47)/4</f>
        <v>278.13324999999998</v>
      </c>
      <c r="K47" s="209">
        <f t="shared" si="16"/>
        <v>600000</v>
      </c>
      <c r="L47" s="279">
        <f>SUM(L46)</f>
        <v>529235</v>
      </c>
      <c r="M47" s="211">
        <f>SUM(M46)</f>
        <v>300000</v>
      </c>
      <c r="N47" s="214">
        <f>SUM(N46)</f>
        <v>77788.28</v>
      </c>
      <c r="O47" s="155"/>
      <c r="P47" s="155"/>
      <c r="Q47" s="211">
        <f t="shared" ref="Q47" si="17">SUM(Q46)</f>
        <v>250000</v>
      </c>
      <c r="R47" s="155">
        <f>Q47-M47</f>
        <v>-50000</v>
      </c>
      <c r="S47" s="90"/>
      <c r="T47" s="236">
        <f t="shared" ref="T47:V47" si="18">SUM(T46)</f>
        <v>1515000</v>
      </c>
      <c r="U47" s="236">
        <f t="shared" ref="U47" si="19">SUM(U46)</f>
        <v>1515000</v>
      </c>
      <c r="V47" s="304">
        <f t="shared" si="18"/>
        <v>1905000</v>
      </c>
    </row>
    <row r="48" spans="1:23" ht="12" customHeight="1">
      <c r="A48" s="90"/>
      <c r="B48" s="180"/>
      <c r="C48" s="181"/>
      <c r="D48" s="182"/>
      <c r="E48" s="183"/>
      <c r="F48" s="192"/>
      <c r="G48" s="193"/>
      <c r="H48" s="194"/>
      <c r="I48" s="195"/>
      <c r="J48" s="188"/>
      <c r="K48" s="196"/>
      <c r="L48" s="278"/>
      <c r="M48" s="198"/>
      <c r="N48" s="155"/>
      <c r="O48" s="223"/>
      <c r="P48" s="223"/>
      <c r="Q48" s="198"/>
      <c r="R48" s="223"/>
      <c r="S48" s="90"/>
      <c r="T48" s="234"/>
      <c r="U48" s="234"/>
      <c r="V48" s="303"/>
    </row>
    <row r="49" spans="1:23" ht="12" customHeight="1">
      <c r="A49" t="s">
        <v>61</v>
      </c>
      <c r="B49" s="180">
        <v>480</v>
      </c>
      <c r="C49" s="181">
        <v>344</v>
      </c>
      <c r="D49" s="182">
        <v>480</v>
      </c>
      <c r="E49" s="183">
        <v>481</v>
      </c>
      <c r="F49" s="192">
        <v>460</v>
      </c>
      <c r="G49" s="193">
        <v>418</v>
      </c>
      <c r="H49" s="194">
        <v>475</v>
      </c>
      <c r="I49" s="195">
        <v>485274</v>
      </c>
      <c r="J49" s="188">
        <f t="shared" ref="J49:J58" si="20">((I49/1000)+G49+E49+C49)/4</f>
        <v>432.06849999999997</v>
      </c>
      <c r="K49" s="196">
        <v>475000</v>
      </c>
      <c r="L49" s="278">
        <v>422289</v>
      </c>
      <c r="M49" s="198">
        <v>475000</v>
      </c>
      <c r="N49" s="155">
        <v>128536.5</v>
      </c>
      <c r="O49" s="223">
        <f>247330-M49</f>
        <v>-227670</v>
      </c>
      <c r="P49" s="223"/>
      <c r="Q49" s="198">
        <f t="shared" ref="Q49:Q55" si="21">M49+O49+P49</f>
        <v>247330</v>
      </c>
      <c r="R49" s="223">
        <f>Q49-M49</f>
        <v>-227670</v>
      </c>
      <c r="S49" s="90" t="s">
        <v>1462</v>
      </c>
      <c r="T49" s="234">
        <v>250000</v>
      </c>
      <c r="U49" s="234">
        <v>250000</v>
      </c>
      <c r="V49" s="303">
        <f t="shared" ref="V49:V57" si="22">T49</f>
        <v>250000</v>
      </c>
    </row>
    <row r="50" spans="1:23" ht="12" customHeight="1">
      <c r="A50" s="90" t="s">
        <v>63</v>
      </c>
      <c r="B50" s="180">
        <v>225</v>
      </c>
      <c r="C50" s="181">
        <v>218</v>
      </c>
      <c r="D50" s="182">
        <v>225</v>
      </c>
      <c r="E50" s="183">
        <v>240</v>
      </c>
      <c r="F50" s="192">
        <v>225</v>
      </c>
      <c r="G50" s="193">
        <v>213</v>
      </c>
      <c r="H50" s="194">
        <v>220</v>
      </c>
      <c r="I50" s="195">
        <v>214305</v>
      </c>
      <c r="J50" s="188">
        <f t="shared" si="20"/>
        <v>221.32625000000002</v>
      </c>
      <c r="K50" s="196">
        <v>220000</v>
      </c>
      <c r="L50" s="278">
        <v>185864</v>
      </c>
      <c r="M50" s="198">
        <v>220000</v>
      </c>
      <c r="N50" s="155">
        <v>77595.009999999995</v>
      </c>
      <c r="O50" s="223">
        <f>169785-M50</f>
        <v>-50215</v>
      </c>
      <c r="P50" s="223"/>
      <c r="Q50" s="198">
        <f t="shared" si="21"/>
        <v>169785</v>
      </c>
      <c r="R50" s="223">
        <f>Q50-M50</f>
        <v>-50215</v>
      </c>
      <c r="S50" s="90" t="s">
        <v>1462</v>
      </c>
      <c r="T50" s="234">
        <v>175000</v>
      </c>
      <c r="U50" s="234">
        <v>175000</v>
      </c>
      <c r="V50" s="303">
        <f t="shared" si="22"/>
        <v>175000</v>
      </c>
    </row>
    <row r="51" spans="1:23" ht="12" customHeight="1">
      <c r="A51" s="90" t="s">
        <v>64</v>
      </c>
      <c r="B51" s="180">
        <v>220</v>
      </c>
      <c r="C51" s="230">
        <v>206</v>
      </c>
      <c r="D51" s="182">
        <v>220</v>
      </c>
      <c r="E51" s="183">
        <v>186</v>
      </c>
      <c r="F51" s="192">
        <v>270</v>
      </c>
      <c r="G51" s="193">
        <v>191</v>
      </c>
      <c r="H51" s="194">
        <v>220</v>
      </c>
      <c r="I51" s="195">
        <v>164225</v>
      </c>
      <c r="J51" s="188">
        <f t="shared" si="20"/>
        <v>186.80625000000001</v>
      </c>
      <c r="K51" s="196">
        <v>200000</v>
      </c>
      <c r="L51" s="278">
        <v>173000</v>
      </c>
      <c r="M51" s="198">
        <v>200000</v>
      </c>
      <c r="N51" s="155">
        <v>42873.75</v>
      </c>
      <c r="O51" s="223">
        <f>135134-M51</f>
        <v>-64866</v>
      </c>
      <c r="P51" s="223"/>
      <c r="Q51" s="198">
        <f t="shared" si="21"/>
        <v>135134</v>
      </c>
      <c r="R51" s="223">
        <f>Q51-M51</f>
        <v>-64866</v>
      </c>
      <c r="S51" s="90" t="s">
        <v>1462</v>
      </c>
      <c r="T51" s="234">
        <v>135000</v>
      </c>
      <c r="U51" s="234">
        <v>135000</v>
      </c>
      <c r="V51" s="303">
        <f t="shared" si="22"/>
        <v>135000</v>
      </c>
    </row>
    <row r="52" spans="1:23" ht="12" customHeight="1">
      <c r="A52" s="231" t="s">
        <v>65</v>
      </c>
      <c r="B52" s="180">
        <v>180</v>
      </c>
      <c r="C52" s="230">
        <v>151</v>
      </c>
      <c r="D52" s="182">
        <v>180</v>
      </c>
      <c r="E52" s="183">
        <v>145</v>
      </c>
      <c r="F52" s="192">
        <v>215</v>
      </c>
      <c r="G52" s="193">
        <v>251</v>
      </c>
      <c r="H52" s="194">
        <v>250</v>
      </c>
      <c r="I52" s="195">
        <v>168521</v>
      </c>
      <c r="J52" s="188">
        <f t="shared" si="20"/>
        <v>178.88024999999999</v>
      </c>
      <c r="K52" s="196">
        <v>250000</v>
      </c>
      <c r="L52" s="278">
        <v>193643</v>
      </c>
      <c r="M52" s="198">
        <v>250000</v>
      </c>
      <c r="N52" s="155">
        <v>72534.38</v>
      </c>
      <c r="O52" s="155">
        <f>177800-M52</f>
        <v>-72200</v>
      </c>
      <c r="P52" s="155"/>
      <c r="Q52" s="198">
        <f t="shared" si="21"/>
        <v>177800</v>
      </c>
      <c r="R52" s="155">
        <f>Q52-M52</f>
        <v>-72200</v>
      </c>
      <c r="S52" s="90" t="s">
        <v>1462</v>
      </c>
      <c r="T52" s="234">
        <v>180000</v>
      </c>
      <c r="U52" s="234">
        <v>180000</v>
      </c>
      <c r="V52" s="303">
        <f t="shared" si="22"/>
        <v>180000</v>
      </c>
    </row>
    <row r="53" spans="1:23" ht="12" customHeight="1">
      <c r="A53" s="264" t="s">
        <v>66</v>
      </c>
      <c r="B53" s="180"/>
      <c r="C53" s="230"/>
      <c r="D53" s="182"/>
      <c r="E53" s="183"/>
      <c r="F53" s="192">
        <v>360</v>
      </c>
      <c r="G53" s="193"/>
      <c r="H53" s="194"/>
      <c r="I53" s="195"/>
      <c r="J53" s="188">
        <f t="shared" si="20"/>
        <v>0</v>
      </c>
      <c r="K53" s="196">
        <v>0</v>
      </c>
      <c r="L53" s="278">
        <v>0</v>
      </c>
      <c r="M53" s="198"/>
      <c r="N53" s="155"/>
      <c r="O53" s="223"/>
      <c r="P53" s="223"/>
      <c r="Q53" s="198">
        <f t="shared" si="21"/>
        <v>0</v>
      </c>
      <c r="R53" s="223"/>
      <c r="S53" s="90"/>
      <c r="T53" s="234">
        <v>0</v>
      </c>
      <c r="U53" s="234">
        <v>0</v>
      </c>
      <c r="V53" s="303">
        <f t="shared" si="22"/>
        <v>0</v>
      </c>
    </row>
    <row r="54" spans="1:23" ht="12" customHeight="1">
      <c r="A54" s="231" t="s">
        <v>67</v>
      </c>
      <c r="B54" s="180"/>
      <c r="C54" s="230"/>
      <c r="D54" s="182"/>
      <c r="E54" s="183"/>
      <c r="F54" s="192"/>
      <c r="G54" s="193"/>
      <c r="H54" s="194"/>
      <c r="I54" s="195">
        <v>7065</v>
      </c>
      <c r="J54" s="188">
        <f t="shared" si="20"/>
        <v>1.7662500000000001</v>
      </c>
      <c r="K54" s="196">
        <v>0</v>
      </c>
      <c r="L54" s="278">
        <v>46115</v>
      </c>
      <c r="M54" s="198"/>
      <c r="N54" s="155">
        <v>45834.91</v>
      </c>
      <c r="O54" s="223"/>
      <c r="P54" s="223"/>
      <c r="Q54" s="198">
        <f t="shared" si="21"/>
        <v>0</v>
      </c>
      <c r="R54" s="223"/>
      <c r="S54" s="90"/>
      <c r="T54" s="234">
        <v>0</v>
      </c>
      <c r="U54" s="234">
        <v>0</v>
      </c>
      <c r="V54" s="303">
        <f t="shared" si="22"/>
        <v>0</v>
      </c>
    </row>
    <row r="55" spans="1:23" ht="12" customHeight="1">
      <c r="A55" s="331" t="s">
        <v>68</v>
      </c>
      <c r="B55" s="180">
        <v>350</v>
      </c>
      <c r="C55" s="230">
        <v>696</v>
      </c>
      <c r="D55" s="182">
        <v>350</v>
      </c>
      <c r="E55" s="183">
        <v>329</v>
      </c>
      <c r="F55" s="192">
        <v>150</v>
      </c>
      <c r="G55" s="193">
        <v>640</v>
      </c>
      <c r="H55" s="194">
        <v>215</v>
      </c>
      <c r="I55" s="195">
        <v>162522</v>
      </c>
      <c r="J55" s="188">
        <f t="shared" si="20"/>
        <v>456.88049999999998</v>
      </c>
      <c r="K55" s="196">
        <v>250000</v>
      </c>
      <c r="L55" s="278">
        <v>147770</v>
      </c>
      <c r="M55" s="198">
        <v>250000</v>
      </c>
      <c r="N55" s="155">
        <v>73744.509999999995</v>
      </c>
      <c r="O55" s="223">
        <f>120000-M55</f>
        <v>-130000</v>
      </c>
      <c r="P55" s="225"/>
      <c r="Q55" s="198">
        <f t="shared" si="21"/>
        <v>120000</v>
      </c>
      <c r="R55" s="223">
        <f>Q55-M55</f>
        <v>-130000</v>
      </c>
      <c r="S55" s="90" t="s">
        <v>1462</v>
      </c>
      <c r="T55" s="234">
        <v>120000</v>
      </c>
      <c r="U55" s="234">
        <v>120000</v>
      </c>
      <c r="V55" s="303">
        <f t="shared" si="22"/>
        <v>120000</v>
      </c>
    </row>
    <row r="56" spans="1:23" ht="12" customHeight="1">
      <c r="A56" s="332" t="s">
        <v>69</v>
      </c>
      <c r="B56" s="316"/>
      <c r="C56" s="322"/>
      <c r="D56" s="186"/>
      <c r="E56" s="186"/>
      <c r="F56" s="321"/>
      <c r="G56" s="194"/>
      <c r="H56" s="194"/>
      <c r="I56" s="194"/>
      <c r="J56" s="319"/>
      <c r="K56" s="194"/>
      <c r="L56" s="194"/>
      <c r="M56" s="194"/>
      <c r="N56" s="155"/>
      <c r="O56" s="323"/>
      <c r="P56" s="320"/>
      <c r="Q56" s="194"/>
      <c r="R56" s="223">
        <f>Q56-M56</f>
        <v>0</v>
      </c>
      <c r="S56" s="96"/>
      <c r="T56" s="194">
        <f>X133</f>
        <v>100000</v>
      </c>
      <c r="U56" s="194">
        <f>X133</f>
        <v>100000</v>
      </c>
      <c r="V56" s="194">
        <f t="shared" si="22"/>
        <v>100000</v>
      </c>
    </row>
    <row r="57" spans="1:23" ht="12" customHeight="1">
      <c r="A57" s="331" t="s">
        <v>70</v>
      </c>
      <c r="B57" s="180"/>
      <c r="C57" s="230"/>
      <c r="D57" s="182"/>
      <c r="E57" s="183"/>
      <c r="F57" s="192"/>
      <c r="G57" s="193"/>
      <c r="H57" s="194"/>
      <c r="I57" s="195"/>
      <c r="J57" s="188"/>
      <c r="K57" s="196"/>
      <c r="L57" s="278"/>
      <c r="M57" s="198"/>
      <c r="N57" s="155"/>
      <c r="O57" s="223">
        <v>235000</v>
      </c>
      <c r="P57" s="225"/>
      <c r="Q57" s="198">
        <f>M57+O57+P57</f>
        <v>235000</v>
      </c>
      <c r="R57" s="225"/>
      <c r="S57" s="90" t="s">
        <v>1462</v>
      </c>
      <c r="T57" s="234">
        <v>150000</v>
      </c>
      <c r="U57" s="234">
        <v>150000</v>
      </c>
      <c r="V57" s="303">
        <f t="shared" si="22"/>
        <v>150000</v>
      </c>
      <c r="W57" s="266" t="s">
        <v>71</v>
      </c>
    </row>
    <row r="58" spans="1:23" ht="12" customHeight="1">
      <c r="A58" s="199" t="s">
        <v>72</v>
      </c>
      <c r="B58" s="212">
        <f>SUM(B49:B55)</f>
        <v>1455</v>
      </c>
      <c r="C58" s="201">
        <f t="shared" ref="C58:K58" si="23">SUM(C49:C55)</f>
        <v>1615</v>
      </c>
      <c r="D58" s="202">
        <f t="shared" si="23"/>
        <v>1455</v>
      </c>
      <c r="E58" s="203">
        <f t="shared" si="23"/>
        <v>1381</v>
      </c>
      <c r="F58" s="204">
        <f t="shared" si="23"/>
        <v>1680</v>
      </c>
      <c r="G58" s="226">
        <f t="shared" si="23"/>
        <v>1713</v>
      </c>
      <c r="H58" s="206">
        <f t="shared" si="23"/>
        <v>1380</v>
      </c>
      <c r="I58" s="207">
        <f t="shared" si="23"/>
        <v>1201912</v>
      </c>
      <c r="J58" s="208">
        <f t="shared" si="20"/>
        <v>1477.7280000000001</v>
      </c>
      <c r="K58" s="209">
        <f t="shared" si="23"/>
        <v>1395000</v>
      </c>
      <c r="L58" s="279">
        <f>SUM(L49:L55)</f>
        <v>1168681</v>
      </c>
      <c r="M58" s="211">
        <f>SUM(M49:M57)</f>
        <v>1395000</v>
      </c>
      <c r="N58" s="214">
        <f>SUM(N49:N57)</f>
        <v>441119.06000000006</v>
      </c>
      <c r="P58" s="214"/>
      <c r="Q58" s="211">
        <f>SUM(Q49:Q57)</f>
        <v>1085049</v>
      </c>
      <c r="R58" s="214">
        <f>Q58-M58</f>
        <v>-309951</v>
      </c>
      <c r="S58" s="90"/>
      <c r="T58" s="236">
        <f>SUM(T49:T57)</f>
        <v>1110000</v>
      </c>
      <c r="U58" s="236">
        <f>SUM(U49:U57)</f>
        <v>1110000</v>
      </c>
      <c r="V58" s="304">
        <f>SUM(V49:V57)</f>
        <v>1110000</v>
      </c>
    </row>
    <row r="59" spans="1:23" ht="12" customHeight="1">
      <c r="A59" s="199"/>
      <c r="B59" s="212"/>
      <c r="C59" s="201"/>
      <c r="D59" s="202"/>
      <c r="E59" s="203"/>
      <c r="F59" s="204"/>
      <c r="G59" s="205"/>
      <c r="H59" s="206"/>
      <c r="I59" s="207"/>
      <c r="J59" s="208"/>
      <c r="K59" s="209"/>
      <c r="L59" s="279"/>
      <c r="M59" s="211"/>
      <c r="N59" s="214"/>
      <c r="O59" s="214"/>
      <c r="P59" s="214"/>
      <c r="Q59" s="211"/>
      <c r="R59" s="214"/>
      <c r="S59" s="90"/>
      <c r="T59" s="236"/>
      <c r="U59" s="236"/>
      <c r="V59" s="304"/>
    </row>
    <row r="60" spans="1:23" ht="12" customHeight="1">
      <c r="A60" s="90" t="s">
        <v>73</v>
      </c>
      <c r="B60" s="212"/>
      <c r="C60" s="181">
        <v>1342</v>
      </c>
      <c r="D60" s="182">
        <v>1410</v>
      </c>
      <c r="E60" s="183">
        <v>1304</v>
      </c>
      <c r="F60" s="192">
        <v>1335</v>
      </c>
      <c r="G60" s="193">
        <v>1585</v>
      </c>
      <c r="H60" s="206"/>
      <c r="I60" s="195">
        <v>1321413</v>
      </c>
      <c r="J60" s="188">
        <f>((I60/1000)+G60+E60+C60)/4</f>
        <v>1388.1032500000001</v>
      </c>
      <c r="K60" s="196">
        <v>1600000</v>
      </c>
      <c r="L60" s="278">
        <v>1452978</v>
      </c>
      <c r="M60" s="232">
        <v>1400000</v>
      </c>
      <c r="N60" s="3">
        <v>1159374.94</v>
      </c>
      <c r="O60" s="223"/>
      <c r="P60" s="223">
        <v>200000</v>
      </c>
      <c r="Q60" s="198">
        <f>M60+O60+P60</f>
        <v>1600000</v>
      </c>
      <c r="R60" s="223">
        <f>Q60-M60</f>
        <v>200000</v>
      </c>
      <c r="S60" s="90" t="s">
        <v>1463</v>
      </c>
      <c r="T60" s="234">
        <v>1400000</v>
      </c>
      <c r="U60" s="356">
        <f>T60+250000</f>
        <v>1650000</v>
      </c>
      <c r="V60" s="303">
        <f>T60</f>
        <v>1400000</v>
      </c>
    </row>
    <row r="61" spans="1:23" ht="12" customHeight="1">
      <c r="A61" s="90" t="s">
        <v>75</v>
      </c>
      <c r="B61" s="180">
        <v>700</v>
      </c>
      <c r="C61" s="181">
        <v>298</v>
      </c>
      <c r="D61" s="182">
        <v>640</v>
      </c>
      <c r="E61" s="183">
        <v>285</v>
      </c>
      <c r="F61" s="192">
        <v>700</v>
      </c>
      <c r="G61" s="193">
        <v>933</v>
      </c>
      <c r="H61" s="194">
        <v>455</v>
      </c>
      <c r="I61" s="195">
        <f>521782-I62</f>
        <v>622890</v>
      </c>
      <c r="J61" s="188">
        <f>((I61/1000)+G61+E61+C61)/4</f>
        <v>534.72249999999997</v>
      </c>
      <c r="K61" s="196">
        <v>950000</v>
      </c>
      <c r="L61" s="278">
        <v>757675</v>
      </c>
      <c r="M61" s="198">
        <v>500000</v>
      </c>
      <c r="N61" s="155">
        <v>1018873.52</v>
      </c>
      <c r="O61" s="223">
        <f>X128</f>
        <v>100000</v>
      </c>
      <c r="P61" s="223">
        <v>1280000</v>
      </c>
      <c r="Q61" s="198">
        <f>M61+O61+P61</f>
        <v>1880000</v>
      </c>
      <c r="R61" s="223">
        <f>Q61-M61</f>
        <v>1380000</v>
      </c>
      <c r="S61" s="90" t="s">
        <v>1464</v>
      </c>
      <c r="T61" s="234">
        <f>375000+X128+X130+X127</f>
        <v>586428.57142857148</v>
      </c>
      <c r="U61" s="356">
        <f>T61+750000</f>
        <v>1336428.5714285714</v>
      </c>
      <c r="V61" s="303">
        <f>-455000+X129+X128+X130+X127</f>
        <v>-223571.42857142858</v>
      </c>
      <c r="W61" s="345" t="s">
        <v>1465</v>
      </c>
    </row>
    <row r="62" spans="1:23" ht="12" customHeight="1">
      <c r="A62" s="90" t="s">
        <v>77</v>
      </c>
      <c r="B62" s="180"/>
      <c r="C62" s="181"/>
      <c r="D62" s="182"/>
      <c r="E62" s="183"/>
      <c r="F62" s="234"/>
      <c r="G62" s="193"/>
      <c r="H62" s="194"/>
      <c r="I62" s="195">
        <v>-101108</v>
      </c>
      <c r="J62" s="188"/>
      <c r="K62" s="196">
        <v>-100000</v>
      </c>
      <c r="L62" s="278">
        <v>-98776</v>
      </c>
      <c r="M62" s="198">
        <v>-100000</v>
      </c>
      <c r="N62" s="155">
        <v>55635.74</v>
      </c>
      <c r="O62" s="223"/>
      <c r="P62" s="223"/>
      <c r="Q62" s="198">
        <f>M62+O62+P62</f>
        <v>-100000</v>
      </c>
      <c r="R62" s="223"/>
      <c r="S62" s="90"/>
      <c r="T62" s="234">
        <v>-100000</v>
      </c>
      <c r="U62" s="234">
        <v>-100000</v>
      </c>
      <c r="V62" s="303">
        <v>-100000</v>
      </c>
    </row>
    <row r="63" spans="1:23" ht="12" customHeight="1">
      <c r="A63" t="s">
        <v>78</v>
      </c>
      <c r="B63" s="180"/>
      <c r="C63" s="181"/>
      <c r="D63" s="182"/>
      <c r="E63" s="233">
        <v>10</v>
      </c>
      <c r="F63" s="234"/>
      <c r="G63" s="193">
        <v>10</v>
      </c>
      <c r="H63" s="194"/>
      <c r="I63" s="195">
        <v>9816</v>
      </c>
      <c r="J63" s="188">
        <f>((I63/1000)+G63+E63+C63)/4</f>
        <v>7.4540000000000006</v>
      </c>
      <c r="K63" s="196">
        <v>0</v>
      </c>
      <c r="L63" s="278">
        <v>10051</v>
      </c>
      <c r="M63" s="198"/>
      <c r="N63" s="155">
        <v>10985.6</v>
      </c>
      <c r="O63" s="225"/>
      <c r="P63" s="225"/>
      <c r="Q63" s="198">
        <f>M63+O63+P63</f>
        <v>0</v>
      </c>
      <c r="R63" s="225"/>
      <c r="S63" s="90"/>
      <c r="T63" s="234">
        <v>0</v>
      </c>
      <c r="U63" s="234">
        <v>0</v>
      </c>
      <c r="V63" s="303">
        <v>0</v>
      </c>
    </row>
    <row r="64" spans="1:23" ht="12" customHeight="1">
      <c r="A64" s="315" t="s">
        <v>1466</v>
      </c>
      <c r="B64" s="316"/>
      <c r="C64" s="317"/>
      <c r="D64" s="186"/>
      <c r="E64" s="318"/>
      <c r="F64" s="194"/>
      <c r="G64" s="194"/>
      <c r="H64" s="194"/>
      <c r="I64" s="194"/>
      <c r="J64" s="319"/>
      <c r="K64" s="194"/>
      <c r="L64" s="194"/>
      <c r="M64" s="194"/>
      <c r="N64" s="155"/>
      <c r="O64" s="323">
        <f>O124</f>
        <v>150000</v>
      </c>
      <c r="P64" s="320"/>
      <c r="Q64" s="194">
        <f>M64+O64+P64</f>
        <v>150000</v>
      </c>
      <c r="R64" s="223">
        <f>Q64-M64</f>
        <v>150000</v>
      </c>
      <c r="S64" s="96"/>
      <c r="T64" s="194">
        <f>Q64</f>
        <v>150000</v>
      </c>
      <c r="U64" s="194">
        <f>Q64</f>
        <v>150000</v>
      </c>
      <c r="V64" s="194">
        <f>T64</f>
        <v>150000</v>
      </c>
    </row>
    <row r="65" spans="1:22" ht="12" customHeight="1">
      <c r="A65" s="199" t="s">
        <v>80</v>
      </c>
      <c r="B65" s="212">
        <f>SUM(B61:B63)</f>
        <v>700</v>
      </c>
      <c r="C65" s="213">
        <f>SUM(C60:C63)</f>
        <v>1640</v>
      </c>
      <c r="D65" s="202">
        <f>SUM(D60:D63)</f>
        <v>2050</v>
      </c>
      <c r="E65" s="235">
        <f>SUM(E60:E63)</f>
        <v>1599</v>
      </c>
      <c r="F65" s="236">
        <f>SUM(F60:F63)</f>
        <v>2035</v>
      </c>
      <c r="G65" s="205">
        <f>SUM(G60:G63)</f>
        <v>2528</v>
      </c>
      <c r="H65" s="206">
        <f>SUM(H61:H63)</f>
        <v>455</v>
      </c>
      <c r="I65" s="207">
        <f>SUM(I60:I63)</f>
        <v>1853011</v>
      </c>
      <c r="J65" s="208">
        <f>((I65/1000)+G65+E65+C65)/4</f>
        <v>1905.0027500000001</v>
      </c>
      <c r="K65" s="209">
        <f>SUM(K60:K63)</f>
        <v>2450000</v>
      </c>
      <c r="L65" s="279">
        <f>SUM(L60:L63)</f>
        <v>2121928</v>
      </c>
      <c r="M65" s="211">
        <f>SUM(M60:M63)</f>
        <v>1800000</v>
      </c>
      <c r="N65" s="214">
        <f>SUM(N60:N64)</f>
        <v>2244869.8000000003</v>
      </c>
      <c r="O65" s="214"/>
      <c r="P65" s="214"/>
      <c r="Q65" s="211">
        <f>SUM(Q60:Q64)</f>
        <v>3530000</v>
      </c>
      <c r="R65" s="214">
        <f>Q65-M65</f>
        <v>1730000</v>
      </c>
      <c r="S65" s="90"/>
      <c r="T65" s="236">
        <f>SUM(T60:T64)</f>
        <v>2036428.5714285714</v>
      </c>
      <c r="U65" s="236">
        <f>SUM(U60:U64)</f>
        <v>3036428.5714285714</v>
      </c>
      <c r="V65" s="304">
        <f>SUM(V60:V64)</f>
        <v>1226428.5714285714</v>
      </c>
    </row>
    <row r="66" spans="1:22" ht="12" customHeight="1">
      <c r="A66" s="199"/>
      <c r="B66" s="212"/>
      <c r="C66" s="213"/>
      <c r="D66" s="202"/>
      <c r="E66" s="235"/>
      <c r="F66" s="236"/>
      <c r="G66" s="205"/>
      <c r="H66" s="206"/>
      <c r="I66" s="207"/>
      <c r="J66" s="208"/>
      <c r="K66" s="209"/>
      <c r="L66" s="279"/>
      <c r="M66" s="211"/>
      <c r="N66" s="214"/>
      <c r="O66" s="223"/>
      <c r="P66" s="223"/>
      <c r="Q66" s="211"/>
      <c r="R66" s="223"/>
      <c r="S66" s="90"/>
      <c r="T66" s="236"/>
      <c r="U66" s="236"/>
      <c r="V66" s="304"/>
    </row>
    <row r="67" spans="1:22" ht="12" customHeight="1">
      <c r="A67" s="90" t="s">
        <v>81</v>
      </c>
      <c r="B67" s="180">
        <v>150</v>
      </c>
      <c r="C67" s="181">
        <v>32</v>
      </c>
      <c r="D67" s="182">
        <v>150</v>
      </c>
      <c r="E67" s="183">
        <v>77</v>
      </c>
      <c r="F67" s="192">
        <v>150</v>
      </c>
      <c r="G67" s="193">
        <v>159</v>
      </c>
      <c r="H67" s="194">
        <v>150</v>
      </c>
      <c r="I67" s="195">
        <v>226287</v>
      </c>
      <c r="J67" s="188">
        <f>((I67/1000)+G67+E67+C67)/4</f>
        <v>123.57175000000001</v>
      </c>
      <c r="K67" s="196">
        <v>75000</v>
      </c>
      <c r="L67" s="278">
        <v>161618</v>
      </c>
      <c r="M67" s="198">
        <v>75000</v>
      </c>
      <c r="N67" s="155">
        <v>309278.57</v>
      </c>
      <c r="O67" s="223"/>
      <c r="P67" s="223">
        <v>300000</v>
      </c>
      <c r="Q67" s="198">
        <f>M67+O67+P67</f>
        <v>375000</v>
      </c>
      <c r="R67" s="223">
        <f>Q67-M67</f>
        <v>300000</v>
      </c>
      <c r="S67" s="90" t="s">
        <v>1467</v>
      </c>
      <c r="T67" s="234">
        <v>150000</v>
      </c>
      <c r="U67" s="234">
        <v>150000</v>
      </c>
      <c r="V67" s="303">
        <f>T67</f>
        <v>150000</v>
      </c>
    </row>
    <row r="68" spans="1:22" ht="12" customHeight="1">
      <c r="A68" s="90" t="s">
        <v>83</v>
      </c>
      <c r="B68" s="180">
        <v>325</v>
      </c>
      <c r="C68" s="181">
        <v>171</v>
      </c>
      <c r="D68" s="182">
        <v>325</v>
      </c>
      <c r="E68" s="183">
        <v>264</v>
      </c>
      <c r="F68" s="192">
        <v>325</v>
      </c>
      <c r="G68" s="193">
        <v>227</v>
      </c>
      <c r="H68" s="194">
        <v>325</v>
      </c>
      <c r="I68" s="195">
        <v>293474</v>
      </c>
      <c r="J68" s="188">
        <f>((I68/1000)+G68+E68+C68)/4</f>
        <v>238.86849999999998</v>
      </c>
      <c r="K68" s="196">
        <v>275000</v>
      </c>
      <c r="L68" s="278">
        <v>246088</v>
      </c>
      <c r="M68" s="198">
        <v>300000</v>
      </c>
      <c r="N68" s="155">
        <v>119316</v>
      </c>
      <c r="O68" s="223">
        <v>-25000</v>
      </c>
      <c r="P68" s="223">
        <v>-50000</v>
      </c>
      <c r="Q68" s="198">
        <f>M68+O68+P68</f>
        <v>225000</v>
      </c>
      <c r="R68" s="223">
        <f>Q68-M68</f>
        <v>-75000</v>
      </c>
      <c r="S68" s="90" t="s">
        <v>84</v>
      </c>
      <c r="T68" s="234">
        <v>275000</v>
      </c>
      <c r="U68" s="234">
        <v>275000</v>
      </c>
      <c r="V68" s="303">
        <v>275000</v>
      </c>
    </row>
    <row r="69" spans="1:22" ht="12" customHeight="1">
      <c r="A69" s="90" t="s">
        <v>85</v>
      </c>
      <c r="B69" s="180">
        <v>50</v>
      </c>
      <c r="C69" s="181">
        <v>9</v>
      </c>
      <c r="D69" s="182">
        <v>150</v>
      </c>
      <c r="E69" s="183">
        <v>42</v>
      </c>
      <c r="F69" s="192">
        <v>50</v>
      </c>
      <c r="G69" s="193">
        <v>45</v>
      </c>
      <c r="H69" s="194">
        <v>150</v>
      </c>
      <c r="I69" s="195">
        <v>83298</v>
      </c>
      <c r="J69" s="188">
        <f>((I69/1000)+G69+E69+C69)/4</f>
        <v>44.8245</v>
      </c>
      <c r="K69" s="196">
        <v>50000</v>
      </c>
      <c r="L69" s="278">
        <v>-20901</v>
      </c>
      <c r="M69" s="198">
        <v>150000</v>
      </c>
      <c r="N69" s="155">
        <v>0</v>
      </c>
      <c r="O69" s="223">
        <v>-75000</v>
      </c>
      <c r="P69" s="223"/>
      <c r="Q69" s="198">
        <f>M69+O69+P69</f>
        <v>75000</v>
      </c>
      <c r="R69" s="223">
        <f>Q69-M69</f>
        <v>-75000</v>
      </c>
      <c r="S69" s="90" t="s">
        <v>1468</v>
      </c>
      <c r="T69" s="234">
        <v>50000</v>
      </c>
      <c r="U69" s="234">
        <v>50000</v>
      </c>
      <c r="V69" s="303">
        <v>100000</v>
      </c>
    </row>
    <row r="70" spans="1:22" ht="12" customHeight="1">
      <c r="A70" s="199" t="s">
        <v>87</v>
      </c>
      <c r="B70" s="212">
        <f t="shared" ref="B70:E70" si="24">SUM(B67:B69)</f>
        <v>525</v>
      </c>
      <c r="C70" s="201">
        <f t="shared" si="24"/>
        <v>212</v>
      </c>
      <c r="D70" s="202">
        <f t="shared" si="24"/>
        <v>625</v>
      </c>
      <c r="E70" s="203">
        <f t="shared" si="24"/>
        <v>383</v>
      </c>
      <c r="F70" s="204">
        <f t="shared" ref="F70:K70" si="25">SUM(F67:F69)</f>
        <v>525</v>
      </c>
      <c r="G70" s="205">
        <f t="shared" si="25"/>
        <v>431</v>
      </c>
      <c r="H70" s="206">
        <f t="shared" si="25"/>
        <v>625</v>
      </c>
      <c r="I70" s="207">
        <f t="shared" si="25"/>
        <v>603059</v>
      </c>
      <c r="J70" s="208">
        <f>((I70/1000)+G70+E70+C70)/4</f>
        <v>407.26474999999999</v>
      </c>
      <c r="K70" s="209">
        <f t="shared" si="25"/>
        <v>400000</v>
      </c>
      <c r="L70" s="279">
        <f>SUM(L67:L69)</f>
        <v>386805</v>
      </c>
      <c r="M70" s="211">
        <f>SUM(M67:M69)</f>
        <v>525000</v>
      </c>
      <c r="N70" s="214">
        <f>SUM(N67:N69)</f>
        <v>428594.57</v>
      </c>
      <c r="O70" s="214"/>
      <c r="P70" s="214"/>
      <c r="Q70" s="211">
        <f>SUM(Q67:Q69)</f>
        <v>675000</v>
      </c>
      <c r="R70" s="214">
        <f>Q70-M70</f>
        <v>150000</v>
      </c>
      <c r="S70" s="90"/>
      <c r="T70" s="236">
        <f>SUM(T67:T69)</f>
        <v>475000</v>
      </c>
      <c r="U70" s="236">
        <f>SUM(U67:U69)</f>
        <v>475000</v>
      </c>
      <c r="V70" s="304">
        <f t="shared" ref="V70" si="26">SUM(V67:V69)</f>
        <v>525000</v>
      </c>
    </row>
    <row r="71" spans="1:22" ht="12" customHeight="1">
      <c r="A71" s="199"/>
      <c r="B71" s="212"/>
      <c r="C71" s="213"/>
      <c r="D71" s="202"/>
      <c r="E71" s="203"/>
      <c r="F71" s="204"/>
      <c r="G71" s="205"/>
      <c r="H71" s="206"/>
      <c r="I71" s="207"/>
      <c r="J71" s="208"/>
      <c r="K71" s="209"/>
      <c r="L71" s="279"/>
      <c r="M71" s="211"/>
      <c r="N71" s="214"/>
      <c r="O71" s="223"/>
      <c r="P71" s="223"/>
      <c r="Q71" s="211"/>
      <c r="R71" s="223"/>
      <c r="S71" s="90"/>
      <c r="T71" s="236"/>
      <c r="U71" s="236"/>
      <c r="V71" s="304"/>
    </row>
    <row r="72" spans="1:22" ht="12" customHeight="1">
      <c r="A72" s="90" t="s">
        <v>88</v>
      </c>
      <c r="B72" s="180">
        <v>200</v>
      </c>
      <c r="C72" s="181">
        <v>307</v>
      </c>
      <c r="D72" s="182">
        <v>200</v>
      </c>
      <c r="E72" s="183">
        <v>372</v>
      </c>
      <c r="F72" s="192">
        <v>350</v>
      </c>
      <c r="G72" s="193">
        <v>328</v>
      </c>
      <c r="H72" s="194">
        <v>350</v>
      </c>
      <c r="I72" s="195">
        <v>313610</v>
      </c>
      <c r="J72" s="188">
        <f t="shared" ref="J72:J79" si="27">((I72/1000)+G72+E72+C72)/4</f>
        <v>330.15250000000003</v>
      </c>
      <c r="K72" s="196">
        <v>400000</v>
      </c>
      <c r="L72" s="278">
        <v>365931</v>
      </c>
      <c r="M72" s="198">
        <v>400000</v>
      </c>
      <c r="N72" s="155">
        <v>429707.56</v>
      </c>
      <c r="O72" s="223">
        <v>30000</v>
      </c>
      <c r="P72" s="223"/>
      <c r="Q72" s="198">
        <f t="shared" ref="Q72:Q78" si="28">M72+O72+P72</f>
        <v>430000</v>
      </c>
      <c r="R72" s="223">
        <f t="shared" ref="R72:R79" si="29">Q72-M72</f>
        <v>30000</v>
      </c>
      <c r="S72" s="90"/>
      <c r="T72" s="234">
        <v>400000</v>
      </c>
      <c r="U72" s="234">
        <v>400000</v>
      </c>
      <c r="V72" s="303">
        <v>400000</v>
      </c>
    </row>
    <row r="73" spans="1:22" ht="12" customHeight="1">
      <c r="A73" s="90" t="s">
        <v>89</v>
      </c>
      <c r="B73" s="180">
        <v>205</v>
      </c>
      <c r="C73" s="181">
        <v>190</v>
      </c>
      <c r="D73" s="182">
        <v>205</v>
      </c>
      <c r="E73" s="183">
        <v>193</v>
      </c>
      <c r="F73" s="192">
        <v>210</v>
      </c>
      <c r="G73" s="193">
        <v>207</v>
      </c>
      <c r="H73" s="194">
        <v>210</v>
      </c>
      <c r="I73" s="195">
        <v>196062</v>
      </c>
      <c r="J73" s="188">
        <f t="shared" si="27"/>
        <v>196.5155</v>
      </c>
      <c r="K73" s="196">
        <v>220000</v>
      </c>
      <c r="L73" s="278">
        <v>207157</v>
      </c>
      <c r="M73" s="198">
        <v>220000</v>
      </c>
      <c r="N73" s="155">
        <v>158175.01999999999</v>
      </c>
      <c r="O73" s="223">
        <v>-20000</v>
      </c>
      <c r="P73" s="223"/>
      <c r="Q73" s="198">
        <f t="shared" si="28"/>
        <v>200000</v>
      </c>
      <c r="R73" s="223">
        <f t="shared" si="29"/>
        <v>-20000</v>
      </c>
      <c r="S73" s="90" t="s">
        <v>1469</v>
      </c>
      <c r="T73" s="234">
        <v>220000</v>
      </c>
      <c r="U73" s="234">
        <v>220000</v>
      </c>
      <c r="V73" s="303">
        <v>220000</v>
      </c>
    </row>
    <row r="74" spans="1:22" ht="12" customHeight="1">
      <c r="A74" s="90" t="s">
        <v>91</v>
      </c>
      <c r="B74" s="180">
        <v>60</v>
      </c>
      <c r="C74" s="181">
        <v>60</v>
      </c>
      <c r="D74" s="182">
        <v>60</v>
      </c>
      <c r="E74" s="183">
        <v>50</v>
      </c>
      <c r="F74" s="192">
        <v>60</v>
      </c>
      <c r="G74" s="193">
        <v>75</v>
      </c>
      <c r="H74" s="194">
        <v>60</v>
      </c>
      <c r="I74" s="195">
        <v>62500</v>
      </c>
      <c r="J74" s="188">
        <f t="shared" si="27"/>
        <v>61.875</v>
      </c>
      <c r="K74" s="196">
        <v>65000</v>
      </c>
      <c r="L74" s="278">
        <v>37500</v>
      </c>
      <c r="M74" s="198">
        <v>65000</v>
      </c>
      <c r="N74" s="155">
        <v>0</v>
      </c>
      <c r="O74" s="223"/>
      <c r="P74" s="223"/>
      <c r="Q74" s="198">
        <f t="shared" si="28"/>
        <v>65000</v>
      </c>
      <c r="R74" s="223">
        <f t="shared" si="29"/>
        <v>0</v>
      </c>
      <c r="S74" s="90"/>
      <c r="T74" s="234">
        <v>65000</v>
      </c>
      <c r="U74" s="234">
        <v>65000</v>
      </c>
      <c r="V74" s="303">
        <v>65000</v>
      </c>
    </row>
    <row r="75" spans="1:22" ht="12" customHeight="1">
      <c r="A75" s="90" t="s">
        <v>92</v>
      </c>
      <c r="B75" s="180">
        <v>0</v>
      </c>
      <c r="C75" s="181">
        <v>9</v>
      </c>
      <c r="D75" s="182">
        <v>0</v>
      </c>
      <c r="E75" s="183">
        <v>61</v>
      </c>
      <c r="F75" s="192">
        <v>0</v>
      </c>
      <c r="G75" s="193">
        <v>38</v>
      </c>
      <c r="H75" s="194">
        <v>0</v>
      </c>
      <c r="I75" s="195">
        <v>33102</v>
      </c>
      <c r="J75" s="188">
        <f t="shared" si="27"/>
        <v>35.275500000000001</v>
      </c>
      <c r="K75" s="196">
        <v>0</v>
      </c>
      <c r="L75" s="278">
        <v>15105</v>
      </c>
      <c r="M75" s="198">
        <v>0</v>
      </c>
      <c r="N75" s="155">
        <v>4049.29</v>
      </c>
      <c r="O75" s="223">
        <v>5000</v>
      </c>
      <c r="P75" s="223"/>
      <c r="Q75" s="198">
        <f t="shared" si="28"/>
        <v>5000</v>
      </c>
      <c r="R75" s="223">
        <f t="shared" si="29"/>
        <v>5000</v>
      </c>
      <c r="S75" s="90"/>
      <c r="T75" s="234">
        <v>0</v>
      </c>
      <c r="U75" s="234">
        <v>0</v>
      </c>
      <c r="V75" s="303">
        <v>0</v>
      </c>
    </row>
    <row r="76" spans="1:22" ht="12" customHeight="1">
      <c r="A76" t="s">
        <v>93</v>
      </c>
      <c r="B76" s="180"/>
      <c r="C76" s="181"/>
      <c r="D76" s="182"/>
      <c r="E76" s="183">
        <v>822</v>
      </c>
      <c r="F76" s="192">
        <v>1000</v>
      </c>
      <c r="G76" s="193">
        <v>1106</v>
      </c>
      <c r="H76" s="194">
        <v>1000</v>
      </c>
      <c r="I76" s="195">
        <v>1029701</v>
      </c>
      <c r="J76" s="188">
        <f t="shared" si="27"/>
        <v>739.42525000000001</v>
      </c>
      <c r="K76" s="196">
        <v>1100000</v>
      </c>
      <c r="L76" s="278">
        <v>1128788</v>
      </c>
      <c r="M76" s="198">
        <v>1100000</v>
      </c>
      <c r="N76" s="155">
        <v>700181.11</v>
      </c>
      <c r="O76" s="223">
        <v>50000</v>
      </c>
      <c r="P76" s="223">
        <v>30000</v>
      </c>
      <c r="Q76" s="198">
        <f t="shared" si="28"/>
        <v>1180000</v>
      </c>
      <c r="R76" s="223">
        <f t="shared" si="29"/>
        <v>80000</v>
      </c>
      <c r="S76" s="90"/>
      <c r="T76" s="234">
        <v>1100000</v>
      </c>
      <c r="U76" s="234">
        <v>1100000</v>
      </c>
      <c r="V76" s="303">
        <v>1100000</v>
      </c>
    </row>
    <row r="77" spans="1:22" ht="12" customHeight="1">
      <c r="A77" s="315" t="s">
        <v>94</v>
      </c>
      <c r="B77" s="316"/>
      <c r="C77" s="317"/>
      <c r="D77" s="186"/>
      <c r="E77" s="186"/>
      <c r="F77" s="321"/>
      <c r="G77" s="194"/>
      <c r="H77" s="194"/>
      <c r="I77" s="194"/>
      <c r="J77" s="319"/>
      <c r="K77" s="194"/>
      <c r="L77" s="194"/>
      <c r="M77" s="194"/>
      <c r="N77" s="155"/>
      <c r="O77" s="320">
        <f>O131/5</f>
        <v>60000</v>
      </c>
      <c r="P77" s="320"/>
      <c r="Q77" s="194">
        <f t="shared" si="28"/>
        <v>60000</v>
      </c>
      <c r="R77" s="223">
        <f t="shared" si="29"/>
        <v>60000</v>
      </c>
      <c r="S77" s="90" t="s">
        <v>1470</v>
      </c>
      <c r="T77" s="194">
        <f>Q77+X132</f>
        <v>460000</v>
      </c>
      <c r="U77" s="194">
        <f>Q77+X132</f>
        <v>460000</v>
      </c>
      <c r="V77" s="194">
        <f>T77</f>
        <v>460000</v>
      </c>
    </row>
    <row r="78" spans="1:22">
      <c r="A78" s="90" t="s">
        <v>95</v>
      </c>
      <c r="B78" s="180">
        <v>1420</v>
      </c>
      <c r="C78" s="181">
        <v>1394</v>
      </c>
      <c r="D78" s="182">
        <v>1370</v>
      </c>
      <c r="E78" s="183">
        <v>162</v>
      </c>
      <c r="F78" s="192">
        <v>470</v>
      </c>
      <c r="G78" s="193">
        <v>291</v>
      </c>
      <c r="H78" s="194">
        <v>470</v>
      </c>
      <c r="I78" s="195">
        <v>373225</v>
      </c>
      <c r="J78" s="188">
        <f>((I78/1000)+G78+E78+C78)/4</f>
        <v>555.05624999999998</v>
      </c>
      <c r="K78" s="196">
        <v>300000</v>
      </c>
      <c r="L78" s="278">
        <v>342900</v>
      </c>
      <c r="M78" s="232">
        <v>300000</v>
      </c>
      <c r="N78" s="3">
        <v>354919.96</v>
      </c>
      <c r="O78" s="223">
        <v>50000</v>
      </c>
      <c r="P78" s="223"/>
      <c r="Q78" s="198">
        <f t="shared" si="28"/>
        <v>350000</v>
      </c>
      <c r="R78" s="223">
        <f t="shared" si="29"/>
        <v>50000</v>
      </c>
      <c r="S78" s="90"/>
      <c r="T78" s="234">
        <v>300000</v>
      </c>
      <c r="U78" s="234">
        <v>300000</v>
      </c>
      <c r="V78" s="303">
        <v>300000</v>
      </c>
    </row>
    <row r="79" spans="1:22">
      <c r="A79" s="199" t="s">
        <v>96</v>
      </c>
      <c r="B79" s="212">
        <f t="shared" ref="B79:H79" si="30">SUM(B72:B76)</f>
        <v>465</v>
      </c>
      <c r="C79" s="201">
        <f t="shared" si="30"/>
        <v>566</v>
      </c>
      <c r="D79" s="202">
        <f t="shared" si="30"/>
        <v>465</v>
      </c>
      <c r="E79" s="203">
        <f t="shared" si="30"/>
        <v>1498</v>
      </c>
      <c r="F79" s="204">
        <f t="shared" si="30"/>
        <v>1620</v>
      </c>
      <c r="G79" s="205">
        <f t="shared" si="30"/>
        <v>1754</v>
      </c>
      <c r="H79" s="206">
        <f t="shared" si="30"/>
        <v>1620</v>
      </c>
      <c r="I79" s="207">
        <f>SUM(I72:I78)</f>
        <v>2008200</v>
      </c>
      <c r="J79" s="208">
        <f t="shared" si="27"/>
        <v>1456.55</v>
      </c>
      <c r="K79" s="209">
        <f>SUM(K72:K78)</f>
        <v>2085000</v>
      </c>
      <c r="L79" s="279">
        <f>SUM(L72:L78)</f>
        <v>2097381</v>
      </c>
      <c r="M79" s="237">
        <f>SUM(M72:M78)</f>
        <v>2085000</v>
      </c>
      <c r="N79" s="214">
        <f>SUM(N72:N78)</f>
        <v>1647032.94</v>
      </c>
      <c r="O79" s="214"/>
      <c r="P79" s="214"/>
      <c r="Q79" s="237">
        <f>SUM(Q72:Q78)</f>
        <v>2290000</v>
      </c>
      <c r="R79" s="214">
        <f t="shared" si="29"/>
        <v>205000</v>
      </c>
      <c r="S79" s="90"/>
      <c r="T79" s="236">
        <f>SUM(T72:T78)</f>
        <v>2545000</v>
      </c>
      <c r="U79" s="236">
        <f>SUM(U72:U78)</f>
        <v>2545000</v>
      </c>
      <c r="V79" s="304">
        <f>SUM(V72:V78)</f>
        <v>2545000</v>
      </c>
    </row>
    <row r="80" spans="1:22" ht="12" customHeight="1">
      <c r="A80" s="199"/>
      <c r="B80" s="212"/>
      <c r="C80" s="201"/>
      <c r="D80" s="202"/>
      <c r="E80" s="203"/>
      <c r="F80" s="204"/>
      <c r="G80" s="205"/>
      <c r="H80" s="206"/>
      <c r="I80" s="207"/>
      <c r="J80" s="208"/>
      <c r="K80" s="209"/>
      <c r="L80" s="279"/>
      <c r="M80" s="211"/>
      <c r="N80" s="214"/>
      <c r="O80" s="225"/>
      <c r="P80" s="225"/>
      <c r="Q80" s="211"/>
      <c r="R80" s="225"/>
      <c r="S80" s="90"/>
      <c r="T80" s="236"/>
      <c r="U80" s="236"/>
      <c r="V80" s="304"/>
    </row>
    <row r="81" spans="1:22" ht="12" customHeight="1">
      <c r="A81" s="199" t="s">
        <v>97</v>
      </c>
      <c r="B81" s="212">
        <v>24</v>
      </c>
      <c r="C81" s="201">
        <v>24</v>
      </c>
      <c r="D81" s="202">
        <v>0</v>
      </c>
      <c r="E81" s="203">
        <v>36</v>
      </c>
      <c r="F81" s="204">
        <v>25</v>
      </c>
      <c r="G81" s="205">
        <v>28</v>
      </c>
      <c r="H81" s="206">
        <v>25</v>
      </c>
      <c r="I81" s="207">
        <v>25356</v>
      </c>
      <c r="J81" s="208">
        <f>((I81/1000)+G81+E81+C81)/4</f>
        <v>28.338999999999999</v>
      </c>
      <c r="K81" s="209">
        <v>25000</v>
      </c>
      <c r="L81" s="279">
        <v>23946</v>
      </c>
      <c r="M81" s="211">
        <v>25000</v>
      </c>
      <c r="N81" s="214">
        <v>16111.37</v>
      </c>
      <c r="O81" s="155"/>
      <c r="P81" s="155"/>
      <c r="Q81" s="211">
        <v>25000</v>
      </c>
      <c r="R81" s="155">
        <f>Q81-M81</f>
        <v>0</v>
      </c>
      <c r="S81" s="90"/>
      <c r="T81" s="236">
        <v>25000</v>
      </c>
      <c r="U81" s="236">
        <v>25000</v>
      </c>
      <c r="V81" s="304">
        <v>25000</v>
      </c>
    </row>
    <row r="82" spans="1:22" ht="12" customHeight="1">
      <c r="A82" s="90"/>
      <c r="B82" s="180"/>
      <c r="C82" s="181"/>
      <c r="D82" s="182"/>
      <c r="E82" s="183"/>
      <c r="F82" s="192"/>
      <c r="G82" s="193"/>
      <c r="H82" s="194"/>
      <c r="I82" s="195"/>
      <c r="J82" s="188"/>
      <c r="K82" s="196"/>
      <c r="L82" s="278"/>
      <c r="M82" s="198"/>
      <c r="N82" s="155"/>
      <c r="P82" s="225"/>
      <c r="Q82" s="198"/>
      <c r="R82" s="225"/>
      <c r="S82" s="90"/>
      <c r="T82" s="234"/>
      <c r="U82" s="234"/>
      <c r="V82" s="303"/>
    </row>
    <row r="83" spans="1:22" ht="12" customHeight="1">
      <c r="A83" s="199" t="s">
        <v>98</v>
      </c>
      <c r="B83" s="238">
        <f t="shared" ref="B83:I83" si="31">+B38+B44+B58+B65+B70+B79+B47+B81</f>
        <v>13294</v>
      </c>
      <c r="C83" s="201">
        <f t="shared" si="31"/>
        <v>13882</v>
      </c>
      <c r="D83" s="202">
        <f t="shared" si="31"/>
        <v>15270</v>
      </c>
      <c r="E83" s="203">
        <f t="shared" si="31"/>
        <v>15361</v>
      </c>
      <c r="F83" s="204">
        <f t="shared" si="31"/>
        <v>16535</v>
      </c>
      <c r="G83" s="205">
        <f t="shared" si="31"/>
        <v>16935</v>
      </c>
      <c r="H83" s="229">
        <f t="shared" si="31"/>
        <v>14855</v>
      </c>
      <c r="I83" s="207">
        <f t="shared" si="31"/>
        <v>16342881</v>
      </c>
      <c r="J83" s="208">
        <f>((I83/1000)+G83+E83+C83)/4</f>
        <v>15630.22025</v>
      </c>
      <c r="K83" s="209">
        <f>+K38+K44+K58+K65+K70+K79+K47+K81</f>
        <v>17480000</v>
      </c>
      <c r="L83" s="279">
        <f>+L81+L79+L70+L65+L58+L47+L38+L44</f>
        <v>16704535</v>
      </c>
      <c r="M83" s="211">
        <f>+M38+M44+M58+M65+M70+M79+M47+M81</f>
        <v>16805000</v>
      </c>
      <c r="N83" s="214">
        <f>+N38+N44+N58+N65+N70+N79+N47+N81</f>
        <v>10730652.329999998</v>
      </c>
      <c r="O83" s="225">
        <f>SUM(O35:O81)</f>
        <v>15049</v>
      </c>
      <c r="P83" s="225">
        <f>SUM(P35:P81)</f>
        <v>1435000</v>
      </c>
      <c r="Q83" s="211">
        <f>+Q38+Q44+Q58+Q65+Q70+Q79+Q47+Q81</f>
        <v>18255049</v>
      </c>
      <c r="R83" s="214">
        <f>Q83-M83</f>
        <v>1450049</v>
      </c>
      <c r="S83" s="90"/>
      <c r="T83" s="236">
        <f>+T38+T44+T58+T65+T70+T79+T47+T81</f>
        <v>18431428.571428571</v>
      </c>
      <c r="U83" s="236">
        <f>+U38+U44+U58+U65+U70+U79+U47+U81</f>
        <v>19431428.571428571</v>
      </c>
      <c r="V83" s="304">
        <f>+V38+V44+V58+V65+V70+V79+V47+V81</f>
        <v>18086428.571428571</v>
      </c>
    </row>
    <row r="84" spans="1:22" ht="12" customHeight="1">
      <c r="A84" s="199"/>
      <c r="B84" s="212"/>
      <c r="C84" s="213"/>
      <c r="D84" s="202"/>
      <c r="E84" s="203"/>
      <c r="F84" s="204"/>
      <c r="G84" s="205"/>
      <c r="H84" s="206"/>
      <c r="I84" s="207"/>
      <c r="J84" s="208"/>
      <c r="K84" s="209"/>
      <c r="L84" s="279"/>
      <c r="M84" s="211"/>
      <c r="N84" s="214"/>
      <c r="O84" s="210"/>
      <c r="P84" s="210"/>
      <c r="Q84" s="211"/>
      <c r="R84" s="210"/>
      <c r="S84" s="90"/>
      <c r="T84" s="236"/>
      <c r="U84" s="236"/>
      <c r="V84" s="304"/>
    </row>
    <row r="85" spans="1:22" ht="12" customHeight="1">
      <c r="A85" s="199" t="s">
        <v>99</v>
      </c>
      <c r="B85" s="200">
        <f t="shared" ref="B85:I85" si="32">+B27-B83</f>
        <v>2751</v>
      </c>
      <c r="C85" s="201">
        <f t="shared" si="32"/>
        <v>2292</v>
      </c>
      <c r="D85" s="202">
        <f t="shared" si="32"/>
        <v>1490</v>
      </c>
      <c r="E85" s="203">
        <f t="shared" si="32"/>
        <v>2261</v>
      </c>
      <c r="F85" s="204">
        <f t="shared" si="32"/>
        <v>275</v>
      </c>
      <c r="G85" s="205">
        <f t="shared" si="32"/>
        <v>965</v>
      </c>
      <c r="H85" s="206">
        <f t="shared" si="32"/>
        <v>1385</v>
      </c>
      <c r="I85" s="207">
        <f t="shared" si="32"/>
        <v>518286</v>
      </c>
      <c r="J85" s="208">
        <f>((I85/1000)+G85+E85+C85)/4</f>
        <v>1509.0715</v>
      </c>
      <c r="K85" s="209">
        <f t="shared" ref="K85:Q85" si="33">+K27-K83</f>
        <v>-952000</v>
      </c>
      <c r="L85" s="279">
        <f t="shared" si="33"/>
        <v>1267957</v>
      </c>
      <c r="M85" s="211">
        <f t="shared" si="33"/>
        <v>195000</v>
      </c>
      <c r="N85" s="214">
        <f t="shared" si="33"/>
        <v>-4604773.4899999984</v>
      </c>
      <c r="O85" s="214">
        <f t="shared" si="33"/>
        <v>-159542</v>
      </c>
      <c r="P85" s="214">
        <f>+P27-P83</f>
        <v>-1415000</v>
      </c>
      <c r="Q85" s="211">
        <f t="shared" si="33"/>
        <v>-1379542</v>
      </c>
      <c r="R85" s="210">
        <f>Q85-M85</f>
        <v>-1574542</v>
      </c>
      <c r="S85" s="90"/>
      <c r="T85" s="236">
        <f>+T27-T83</f>
        <v>-2131428.5714285709</v>
      </c>
      <c r="U85" s="236">
        <f>+U27-U83</f>
        <v>-3131428.5714285709</v>
      </c>
      <c r="V85" s="304">
        <f>+V27-V83</f>
        <v>-1936428.5714285709</v>
      </c>
    </row>
    <row r="86" spans="1:22" ht="12" customHeight="1">
      <c r="A86" s="90"/>
      <c r="B86" s="180" t="s">
        <v>100</v>
      </c>
      <c r="C86" s="181" t="s">
        <v>100</v>
      </c>
      <c r="D86" s="182" t="s">
        <v>100</v>
      </c>
      <c r="E86" s="183"/>
      <c r="F86" s="184"/>
      <c r="G86" s="185"/>
      <c r="H86" s="186"/>
      <c r="I86" s="187"/>
      <c r="J86" s="188"/>
      <c r="K86" s="189"/>
      <c r="L86" s="277"/>
      <c r="M86" s="190"/>
      <c r="N86" s="155"/>
      <c r="O86" s="155"/>
      <c r="P86" s="155"/>
      <c r="Q86" s="190"/>
      <c r="R86" s="223"/>
      <c r="S86" s="90"/>
      <c r="T86" s="296"/>
      <c r="U86" s="296"/>
      <c r="V86" s="302"/>
    </row>
    <row r="87" spans="1:22" ht="12" customHeight="1">
      <c r="A87" s="266" t="s">
        <v>101</v>
      </c>
      <c r="B87" s="180">
        <f t="shared" ref="B87:I87" si="34">B21*-1</f>
        <v>0</v>
      </c>
      <c r="C87" s="181">
        <f t="shared" si="34"/>
        <v>-408</v>
      </c>
      <c r="D87" s="182">
        <f t="shared" si="34"/>
        <v>0</v>
      </c>
      <c r="E87" s="183">
        <f t="shared" si="34"/>
        <v>-471</v>
      </c>
      <c r="F87" s="184">
        <f t="shared" si="34"/>
        <v>0</v>
      </c>
      <c r="G87" s="185">
        <f t="shared" si="34"/>
        <v>-73</v>
      </c>
      <c r="H87" s="186">
        <f t="shared" si="34"/>
        <v>0</v>
      </c>
      <c r="I87" s="187">
        <f t="shared" si="34"/>
        <v>-1588099</v>
      </c>
      <c r="J87" s="208">
        <f>((I87/1000)+G87+E87+C87)/4</f>
        <v>-635.02475000000004</v>
      </c>
      <c r="K87" s="189">
        <f>K21*-1</f>
        <v>0</v>
      </c>
      <c r="L87" s="277">
        <v>-1938595</v>
      </c>
      <c r="M87" s="190">
        <f>M21*-1</f>
        <v>0</v>
      </c>
      <c r="N87" s="155">
        <f>N21*-1</f>
        <v>-301099.40999999997</v>
      </c>
      <c r="O87" s="155">
        <f>O21*-1</f>
        <v>-400000</v>
      </c>
      <c r="P87" s="155">
        <f>P21*-1</f>
        <v>0</v>
      </c>
      <c r="Q87" s="198">
        <f>M87+O87+P87</f>
        <v>-400000</v>
      </c>
      <c r="R87" s="155">
        <f>Q87-M87</f>
        <v>-400000</v>
      </c>
      <c r="S87" s="90"/>
      <c r="T87" s="296">
        <f>T21*-1</f>
        <v>0</v>
      </c>
      <c r="U87" s="296">
        <f>U21*-1</f>
        <v>0</v>
      </c>
      <c r="V87" s="302">
        <f>V21*-1</f>
        <v>0</v>
      </c>
    </row>
    <row r="88" spans="1:22" ht="12" customHeight="1">
      <c r="A88" s="346" t="s">
        <v>102</v>
      </c>
      <c r="B88" s="180"/>
      <c r="C88" s="181"/>
      <c r="D88" s="182"/>
      <c r="E88" s="183"/>
      <c r="F88" s="184"/>
      <c r="G88" s="185"/>
      <c r="H88" s="186"/>
      <c r="I88" s="187"/>
      <c r="J88" s="208"/>
      <c r="K88" s="189"/>
      <c r="L88" s="277"/>
      <c r="M88" s="190"/>
      <c r="N88" s="155"/>
      <c r="O88" s="155"/>
      <c r="P88" s="155"/>
      <c r="Q88" s="190"/>
      <c r="R88" s="155"/>
      <c r="S88" s="90"/>
      <c r="T88" s="296"/>
      <c r="U88" s="296"/>
      <c r="V88" s="302"/>
    </row>
    <row r="89" spans="1:22" ht="12" customHeight="1">
      <c r="A89" s="266" t="s">
        <v>103</v>
      </c>
      <c r="B89" s="180"/>
      <c r="C89" s="181"/>
      <c r="D89" s="182"/>
      <c r="E89" s="183"/>
      <c r="F89" s="184"/>
      <c r="G89" s="185"/>
      <c r="H89" s="186"/>
      <c r="I89" s="187"/>
      <c r="J89" s="208"/>
      <c r="K89" s="189"/>
      <c r="L89" s="277"/>
      <c r="M89" s="190"/>
      <c r="N89" s="155"/>
      <c r="O89" s="155"/>
      <c r="P89" s="155"/>
      <c r="Q89" s="190"/>
      <c r="R89" s="155"/>
      <c r="S89" s="90"/>
      <c r="T89" s="296">
        <f>T107</f>
        <v>1215000</v>
      </c>
      <c r="U89" s="296">
        <f>U107</f>
        <v>1215000</v>
      </c>
      <c r="V89" s="302">
        <f>V107</f>
        <v>1605000</v>
      </c>
    </row>
    <row r="90" spans="1:22" ht="12" customHeight="1">
      <c r="A90" s="266" t="s">
        <v>104</v>
      </c>
      <c r="B90" s="180"/>
      <c r="C90" s="181"/>
      <c r="D90" s="182"/>
      <c r="E90" s="183"/>
      <c r="F90" s="184"/>
      <c r="G90" s="185"/>
      <c r="H90" s="186"/>
      <c r="I90" s="187"/>
      <c r="J90" s="208"/>
      <c r="K90" s="189"/>
      <c r="L90" s="277"/>
      <c r="M90" s="190"/>
      <c r="N90" s="155"/>
      <c r="O90" s="155">
        <v>250000</v>
      </c>
      <c r="P90" s="155">
        <f>P115</f>
        <v>0</v>
      </c>
      <c r="Q90" s="190">
        <f>Q64+X128</f>
        <v>250000</v>
      </c>
      <c r="R90" s="223">
        <f>Q90-M90</f>
        <v>250000</v>
      </c>
      <c r="S90" s="90"/>
      <c r="T90" s="296">
        <f>T64+AA128+X128+X130+X127</f>
        <v>361428.57142857142</v>
      </c>
      <c r="U90" s="296">
        <f>U64++X128+X130+X127</f>
        <v>361428.57142857142</v>
      </c>
      <c r="V90" s="302">
        <f>V64+X128+X130+X127+X129</f>
        <v>381428.57142857142</v>
      </c>
    </row>
    <row r="91" spans="1:22" ht="12" customHeight="1">
      <c r="A91" s="90"/>
      <c r="B91" s="180" t="s">
        <v>100</v>
      </c>
      <c r="C91" s="181" t="s">
        <v>100</v>
      </c>
      <c r="D91" s="182" t="s">
        <v>100</v>
      </c>
      <c r="E91" s="183"/>
      <c r="F91" s="184"/>
      <c r="G91" s="185"/>
      <c r="H91" s="186"/>
      <c r="I91" s="187"/>
      <c r="J91" s="188"/>
      <c r="K91" s="189"/>
      <c r="L91" s="277"/>
      <c r="M91" s="190"/>
      <c r="N91" s="155"/>
      <c r="O91" s="155"/>
      <c r="P91" s="155"/>
      <c r="Q91" s="190"/>
      <c r="R91" s="225"/>
      <c r="S91" s="90"/>
      <c r="T91" s="296"/>
      <c r="U91" s="296"/>
      <c r="V91" s="302"/>
    </row>
    <row r="92" spans="1:22" ht="12" customHeight="1">
      <c r="A92" s="199" t="s">
        <v>105</v>
      </c>
      <c r="B92" s="212">
        <f t="shared" ref="B92" si="35">SUM(B87)</f>
        <v>0</v>
      </c>
      <c r="C92" s="201">
        <f>SUM(C87)</f>
        <v>-408</v>
      </c>
      <c r="D92" s="202">
        <f t="shared" ref="D92:K92" si="36">SUM(D87)</f>
        <v>0</v>
      </c>
      <c r="E92" s="203">
        <f t="shared" si="36"/>
        <v>-471</v>
      </c>
      <c r="F92" s="239">
        <f t="shared" si="36"/>
        <v>0</v>
      </c>
      <c r="G92" s="240">
        <f t="shared" si="36"/>
        <v>-73</v>
      </c>
      <c r="H92" s="241">
        <f t="shared" si="36"/>
        <v>0</v>
      </c>
      <c r="I92" s="242">
        <f t="shared" si="36"/>
        <v>-1588099</v>
      </c>
      <c r="J92" s="208">
        <f>((I92/1000)+G92+E92+C92)/4</f>
        <v>-635.02475000000004</v>
      </c>
      <c r="K92" s="243">
        <f t="shared" si="36"/>
        <v>0</v>
      </c>
      <c r="L92" s="281">
        <f>SUM(L87:L88)</f>
        <v>-1938595</v>
      </c>
      <c r="M92" s="244">
        <f>SUM(M87)</f>
        <v>0</v>
      </c>
      <c r="N92" s="214">
        <f>SUM(N87)</f>
        <v>-301099.40999999997</v>
      </c>
      <c r="O92" s="214">
        <f>SUM(O87:O91)</f>
        <v>-150000</v>
      </c>
      <c r="P92" s="214">
        <f t="shared" ref="P92" si="37">SUM(P87)</f>
        <v>0</v>
      </c>
      <c r="Q92" s="244">
        <f>SUM(Q87:Q91)</f>
        <v>-150000</v>
      </c>
      <c r="R92" s="214">
        <f>Q92-M92</f>
        <v>-150000</v>
      </c>
      <c r="S92" s="90"/>
      <c r="T92" s="262">
        <f>SUM(T87:T91)</f>
        <v>1576428.5714285714</v>
      </c>
      <c r="U92" s="262">
        <f>SUM(U87:U91)</f>
        <v>1576428.5714285714</v>
      </c>
      <c r="V92" s="305">
        <f>SUM(V87:V91)</f>
        <v>1986428.5714285714</v>
      </c>
    </row>
    <row r="93" spans="1:22" ht="12" customHeight="1">
      <c r="A93" s="90"/>
      <c r="B93" s="156"/>
      <c r="C93" s="245"/>
      <c r="D93" s="246"/>
      <c r="E93" s="247"/>
      <c r="F93" s="248"/>
      <c r="G93" s="148"/>
      <c r="H93" s="96"/>
      <c r="I93" s="249"/>
      <c r="J93" s="245"/>
      <c r="K93" s="250"/>
      <c r="L93" s="282"/>
      <c r="M93" s="157"/>
      <c r="N93" s="90"/>
      <c r="O93" s="90"/>
      <c r="P93" s="90"/>
      <c r="Q93" s="157"/>
      <c r="R93" s="90"/>
      <c r="S93" s="90"/>
      <c r="T93" s="297"/>
      <c r="U93" s="297"/>
      <c r="V93" s="306"/>
    </row>
    <row r="94" spans="1:22" ht="12" customHeight="1">
      <c r="A94" s="90"/>
      <c r="B94" s="156"/>
      <c r="C94" s="245"/>
      <c r="D94" s="246"/>
      <c r="E94" s="247"/>
      <c r="F94" s="248"/>
      <c r="G94" s="148"/>
      <c r="H94" s="96"/>
      <c r="I94" s="249"/>
      <c r="J94" s="245"/>
      <c r="K94" s="250"/>
      <c r="L94" s="282"/>
      <c r="M94" s="157"/>
      <c r="N94" s="90"/>
      <c r="O94" s="90"/>
      <c r="P94" s="90"/>
      <c r="Q94" s="157"/>
      <c r="R94" s="210"/>
      <c r="S94" s="90"/>
      <c r="T94" s="297"/>
      <c r="U94" s="297"/>
      <c r="V94" s="306"/>
    </row>
    <row r="95" spans="1:22" ht="12.75" customHeight="1">
      <c r="A95" s="199" t="s">
        <v>106</v>
      </c>
      <c r="B95" s="200">
        <f>+B85+B92</f>
        <v>2751</v>
      </c>
      <c r="C95" s="251">
        <f>SUM(C92+C85)</f>
        <v>1884</v>
      </c>
      <c r="D95" s="252">
        <f>SUM(D92+D85)</f>
        <v>1490</v>
      </c>
      <c r="E95" s="253">
        <f>+E85+E87</f>
        <v>1790</v>
      </c>
      <c r="F95" s="254">
        <f>+F85</f>
        <v>275</v>
      </c>
      <c r="G95" s="255">
        <f>+G85+G87</f>
        <v>892</v>
      </c>
      <c r="H95" s="256">
        <f>+H85+H87</f>
        <v>1385</v>
      </c>
      <c r="I95" s="257">
        <f>+I85+I87</f>
        <v>-1069813</v>
      </c>
      <c r="J95" s="258"/>
      <c r="K95" s="259">
        <f>+K85+K87</f>
        <v>-952000</v>
      </c>
      <c r="L95" s="283">
        <f>+L85+L92</f>
        <v>-670638</v>
      </c>
      <c r="M95" s="261">
        <f>+M85+M87</f>
        <v>195000</v>
      </c>
      <c r="N95" s="335">
        <f>+N85+N87</f>
        <v>-4905872.8999999985</v>
      </c>
      <c r="O95" s="197">
        <f>+O85+O92</f>
        <v>-309542</v>
      </c>
      <c r="P95" s="197">
        <f>+P85+P92</f>
        <v>-1415000</v>
      </c>
      <c r="Q95" s="261">
        <f>+Q85+Q92</f>
        <v>-1529542</v>
      </c>
      <c r="R95" s="260">
        <f>Q95-M95</f>
        <v>-1724542</v>
      </c>
      <c r="S95" s="90"/>
      <c r="T95" s="254">
        <f>+T85+T92</f>
        <v>-554999.99999999953</v>
      </c>
      <c r="U95" s="254">
        <f>+U85+U92</f>
        <v>-1554999.9999999995</v>
      </c>
      <c r="V95" s="307">
        <f>+V85+V92</f>
        <v>50000.000000000466</v>
      </c>
    </row>
    <row r="96" spans="1:22" ht="12.75" customHeight="1">
      <c r="A96" s="199"/>
      <c r="B96" s="200"/>
      <c r="C96" s="201"/>
      <c r="D96" s="202"/>
      <c r="E96" s="203"/>
      <c r="F96" s="262"/>
      <c r="G96" s="240"/>
      <c r="H96" s="241"/>
      <c r="I96" s="242"/>
      <c r="J96" s="208"/>
      <c r="K96" s="243"/>
      <c r="L96" s="281"/>
      <c r="M96" s="244"/>
      <c r="N96" s="214"/>
      <c r="O96" s="223"/>
      <c r="P96" s="223"/>
      <c r="Q96" s="244"/>
      <c r="R96" s="210"/>
      <c r="S96" s="90"/>
      <c r="T96" s="262"/>
      <c r="U96" s="262"/>
      <c r="V96" s="305"/>
    </row>
    <row r="97" spans="1:23" ht="12.75" customHeight="1">
      <c r="A97" s="199" t="s">
        <v>107</v>
      </c>
      <c r="B97" s="200"/>
      <c r="C97" s="201"/>
      <c r="D97" s="202"/>
      <c r="E97" s="203"/>
      <c r="F97" s="262"/>
      <c r="G97" s="240"/>
      <c r="H97" s="241"/>
      <c r="I97" s="242"/>
      <c r="J97" s="208"/>
      <c r="K97" s="243"/>
      <c r="L97" s="281"/>
      <c r="M97" s="244"/>
      <c r="N97" s="214"/>
      <c r="O97" s="223"/>
      <c r="P97" s="223"/>
      <c r="Q97" s="244"/>
      <c r="R97" s="210"/>
      <c r="S97" s="90"/>
      <c r="T97" s="262"/>
      <c r="U97" s="262"/>
      <c r="V97" s="305"/>
    </row>
    <row r="98" spans="1:23" ht="12.75" customHeight="1">
      <c r="A98" s="90" t="s">
        <v>108</v>
      </c>
      <c r="B98" s="314"/>
      <c r="C98" s="191"/>
      <c r="D98" s="182"/>
      <c r="E98" s="183"/>
      <c r="F98" s="296"/>
      <c r="G98" s="185"/>
      <c r="H98" s="186"/>
      <c r="I98" s="187">
        <f>I95-I99</f>
        <v>-303280</v>
      </c>
      <c r="J98" s="188"/>
      <c r="K98" s="189"/>
      <c r="L98" s="277">
        <f>L95-L99</f>
        <v>-801634</v>
      </c>
      <c r="M98" s="190"/>
      <c r="N98" s="155"/>
      <c r="O98" s="223"/>
      <c r="P98" s="223"/>
      <c r="Q98" s="190">
        <f>Q95-Q99</f>
        <v>-1279542</v>
      </c>
      <c r="R98" s="197"/>
      <c r="S98" s="90"/>
      <c r="T98" s="296">
        <f>T95-T99</f>
        <v>-704999.99999999953</v>
      </c>
      <c r="U98" s="296">
        <f>U95-U99</f>
        <v>-1704999.9999999995</v>
      </c>
      <c r="V98" s="302">
        <f>V95-V99</f>
        <v>-649999.99999999953</v>
      </c>
    </row>
    <row r="99" spans="1:23" ht="12.75" customHeight="1">
      <c r="A99" s="90" t="s">
        <v>109</v>
      </c>
      <c r="B99" s="314"/>
      <c r="C99" s="191"/>
      <c r="D99" s="182"/>
      <c r="E99" s="183"/>
      <c r="F99" s="296"/>
      <c r="G99" s="185"/>
      <c r="H99" s="186"/>
      <c r="I99" s="187">
        <f>I18</f>
        <v>-766533</v>
      </c>
      <c r="J99" s="188"/>
      <c r="K99" s="189"/>
      <c r="L99" s="277">
        <f>L18</f>
        <v>130996</v>
      </c>
      <c r="M99" s="190"/>
      <c r="N99" s="155"/>
      <c r="O99" s="223"/>
      <c r="P99" s="223"/>
      <c r="Q99" s="190">
        <f>Q18</f>
        <v>-250000</v>
      </c>
      <c r="R99" s="197"/>
      <c r="S99" s="90"/>
      <c r="T99" s="296">
        <f>T18</f>
        <v>150000</v>
      </c>
      <c r="U99" s="296">
        <f>U18</f>
        <v>150000</v>
      </c>
      <c r="V99" s="302">
        <f>V18</f>
        <v>700000</v>
      </c>
    </row>
    <row r="100" spans="1:23" s="5" customFormat="1" ht="12.75" customHeight="1">
      <c r="A100" s="199" t="s">
        <v>110</v>
      </c>
      <c r="B100" s="200"/>
      <c r="C100" s="201"/>
      <c r="D100" s="202"/>
      <c r="E100" s="203"/>
      <c r="F100" s="262"/>
      <c r="G100" s="240"/>
      <c r="H100" s="241"/>
      <c r="I100" s="242">
        <f>SUM(I98:I99)</f>
        <v>-1069813</v>
      </c>
      <c r="J100" s="208"/>
      <c r="K100" s="243"/>
      <c r="L100" s="281">
        <f>SUM(L98:L99)</f>
        <v>-670638</v>
      </c>
      <c r="M100" s="244"/>
      <c r="N100" s="214"/>
      <c r="O100" s="225"/>
      <c r="P100" s="225"/>
      <c r="Q100" s="244">
        <f>SUM(Q98:Q99)</f>
        <v>-1529542</v>
      </c>
      <c r="R100" s="210"/>
      <c r="S100" s="199"/>
      <c r="T100" s="262">
        <f>SUM(T98:T99)</f>
        <v>-554999.99999999953</v>
      </c>
      <c r="U100" s="262">
        <f>SUM(U98:U99)</f>
        <v>-1554999.9999999995</v>
      </c>
      <c r="V100" s="305">
        <f>SUM(V98:V99)</f>
        <v>50000.000000000466</v>
      </c>
      <c r="W100" s="333"/>
    </row>
    <row r="101" spans="1:23" ht="12.75" customHeight="1">
      <c r="A101" s="199"/>
      <c r="B101" s="214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90"/>
      <c r="N101" s="90"/>
      <c r="O101" s="90"/>
      <c r="P101" s="90"/>
      <c r="Q101" s="90"/>
      <c r="R101" s="90"/>
      <c r="S101" s="90"/>
      <c r="T101" s="214"/>
      <c r="U101" s="214"/>
      <c r="V101" s="214"/>
    </row>
    <row r="102" spans="1:23" s="325" customFormat="1" ht="17" thickBot="1">
      <c r="A102" s="327" t="s">
        <v>111</v>
      </c>
      <c r="B102" s="326"/>
      <c r="C102" s="326"/>
      <c r="D102" s="328"/>
      <c r="E102" s="328"/>
      <c r="F102" s="328"/>
      <c r="G102" s="328"/>
      <c r="H102" s="328"/>
      <c r="I102" s="328"/>
      <c r="J102" s="328"/>
      <c r="K102" s="329"/>
      <c r="L102" s="329"/>
      <c r="M102" s="326"/>
      <c r="N102" s="326"/>
      <c r="O102" s="326"/>
      <c r="P102" s="326"/>
      <c r="Q102" s="326"/>
      <c r="R102" s="326"/>
      <c r="S102" s="326"/>
      <c r="T102" s="329"/>
      <c r="U102" s="329"/>
      <c r="V102" s="329"/>
      <c r="W102" s="334"/>
    </row>
    <row r="103" spans="1:23">
      <c r="A103" s="284" t="s">
        <v>103</v>
      </c>
      <c r="B103" s="90"/>
      <c r="C103" s="90"/>
      <c r="D103" s="155"/>
      <c r="E103" s="155"/>
      <c r="F103" s="155"/>
      <c r="G103" s="155"/>
      <c r="H103" s="155"/>
      <c r="I103" s="155"/>
      <c r="J103" s="155"/>
      <c r="K103" s="214"/>
      <c r="L103" s="287"/>
      <c r="M103" s="157"/>
      <c r="N103" s="90"/>
      <c r="O103" s="90"/>
      <c r="P103" s="90"/>
      <c r="Q103" s="157"/>
      <c r="R103" s="90"/>
      <c r="S103" s="90"/>
      <c r="T103" s="298"/>
      <c r="U103" s="298"/>
      <c r="V103" s="308"/>
    </row>
    <row r="104" spans="1:23">
      <c r="A104" s="216" t="s">
        <v>112</v>
      </c>
      <c r="B104" s="90"/>
      <c r="C104" s="90"/>
      <c r="D104" s="155"/>
      <c r="E104" s="155"/>
      <c r="F104" s="155"/>
      <c r="G104" s="155"/>
      <c r="H104" s="155"/>
      <c r="I104" s="155"/>
      <c r="J104" s="155"/>
      <c r="K104" s="214"/>
      <c r="L104" s="287">
        <v>3143578</v>
      </c>
      <c r="M104" s="312"/>
      <c r="N104" s="199"/>
      <c r="O104" s="90"/>
      <c r="P104" s="90"/>
      <c r="Q104" s="237">
        <f>L110</f>
        <v>4555184</v>
      </c>
      <c r="R104" s="199"/>
      <c r="S104" s="199"/>
      <c r="T104" s="298">
        <f>Q110</f>
        <v>4555184</v>
      </c>
      <c r="U104" s="298">
        <f>T104</f>
        <v>4555184</v>
      </c>
      <c r="V104" s="308">
        <f>T110</f>
        <v>3340184</v>
      </c>
    </row>
    <row r="105" spans="1:23">
      <c r="A105" s="216" t="s">
        <v>113</v>
      </c>
      <c r="B105" s="90"/>
      <c r="C105" s="90"/>
      <c r="D105" s="155"/>
      <c r="E105" s="155"/>
      <c r="F105" s="155"/>
      <c r="G105" s="155"/>
      <c r="H105" s="155"/>
      <c r="I105" s="155"/>
      <c r="J105" s="155"/>
      <c r="K105" s="214"/>
      <c r="L105" s="288">
        <f>L87*-1</f>
        <v>1938595</v>
      </c>
      <c r="M105" s="157"/>
      <c r="N105" s="90"/>
      <c r="O105" s="90"/>
      <c r="P105" s="90"/>
      <c r="Q105" s="291">
        <f>Q87*-1</f>
        <v>400000</v>
      </c>
      <c r="R105" s="90"/>
      <c r="S105" s="90"/>
      <c r="T105" s="154">
        <f>T87*-1</f>
        <v>0</v>
      </c>
      <c r="U105" s="154">
        <f>U87*-1</f>
        <v>0</v>
      </c>
      <c r="V105" s="309">
        <f>V87*-1</f>
        <v>0</v>
      </c>
    </row>
    <row r="106" spans="1:23">
      <c r="A106" s="284" t="s">
        <v>114</v>
      </c>
      <c r="B106" s="199"/>
      <c r="C106" s="199"/>
      <c r="D106" s="214"/>
      <c r="E106" s="214"/>
      <c r="F106" s="214"/>
      <c r="G106" s="214"/>
      <c r="H106" s="214"/>
      <c r="I106" s="214"/>
      <c r="J106" s="214"/>
      <c r="K106" s="214"/>
      <c r="L106" s="289">
        <f>L104+L105</f>
        <v>5082173</v>
      </c>
      <c r="M106" s="157"/>
      <c r="N106" s="90"/>
      <c r="O106" s="90"/>
      <c r="P106" s="90"/>
      <c r="Q106" s="347">
        <f>Q104+Q105</f>
        <v>4955184</v>
      </c>
      <c r="R106" s="90"/>
      <c r="S106" s="90"/>
      <c r="T106" s="348">
        <f>T104+T105</f>
        <v>4555184</v>
      </c>
      <c r="U106" s="348">
        <f>U104+U105</f>
        <v>4555184</v>
      </c>
      <c r="V106" s="349">
        <f>V104+V105</f>
        <v>3340184</v>
      </c>
    </row>
    <row r="107" spans="1:23">
      <c r="A107" s="216" t="s">
        <v>115</v>
      </c>
      <c r="B107" s="199"/>
      <c r="C107" s="199"/>
      <c r="D107" s="214"/>
      <c r="E107" s="214"/>
      <c r="F107" s="214"/>
      <c r="G107" s="214"/>
      <c r="H107" s="214"/>
      <c r="I107" s="214"/>
      <c r="J107" s="214"/>
      <c r="K107" s="214"/>
      <c r="L107" s="289"/>
      <c r="M107" s="157"/>
      <c r="N107" s="90"/>
      <c r="O107" s="90"/>
      <c r="P107" s="90"/>
      <c r="Q107" s="292"/>
      <c r="R107" s="90"/>
      <c r="S107" s="90"/>
      <c r="T107" s="154">
        <v>1215000</v>
      </c>
      <c r="U107" s="154">
        <v>1215000</v>
      </c>
      <c r="V107" s="309">
        <v>1605000</v>
      </c>
      <c r="W107" s="266" t="s">
        <v>116</v>
      </c>
    </row>
    <row r="108" spans="1:23" ht="15.75" customHeight="1">
      <c r="A108" s="284" t="s">
        <v>117</v>
      </c>
      <c r="B108" s="199"/>
      <c r="C108" s="199"/>
      <c r="D108" s="199"/>
      <c r="E108" s="199"/>
      <c r="F108" s="214"/>
      <c r="G108" s="214"/>
      <c r="H108" s="214"/>
      <c r="I108" s="214"/>
      <c r="J108" s="214"/>
      <c r="K108" s="214"/>
      <c r="L108" s="288">
        <f>93340+103030+255619+75000</f>
        <v>526989</v>
      </c>
      <c r="M108" s="293"/>
      <c r="O108" s="90"/>
      <c r="P108" s="90"/>
      <c r="Q108" s="237">
        <v>400000</v>
      </c>
      <c r="R108" s="5"/>
      <c r="S108" s="5"/>
      <c r="T108" s="298">
        <f>SUM(T107:T107)</f>
        <v>1215000</v>
      </c>
      <c r="U108" s="298">
        <f>SUM(U107:U107)</f>
        <v>1215000</v>
      </c>
      <c r="V108" s="308">
        <f>SUM(V107:V107)</f>
        <v>1605000</v>
      </c>
    </row>
    <row r="109" spans="1:23" ht="15.75" customHeight="1">
      <c r="A109" s="285"/>
      <c r="F109" s="3"/>
      <c r="G109" s="3"/>
      <c r="H109" s="3"/>
      <c r="I109" s="3"/>
      <c r="J109" s="3"/>
      <c r="K109" s="214"/>
      <c r="L109" s="287"/>
      <c r="M109" s="293"/>
      <c r="O109" s="90"/>
      <c r="P109" s="90"/>
      <c r="Q109" s="293"/>
      <c r="T109" s="299"/>
      <c r="U109" s="299"/>
      <c r="V109" s="310"/>
    </row>
    <row r="110" spans="1:23" ht="15.75" customHeight="1">
      <c r="A110" s="286" t="s">
        <v>118</v>
      </c>
      <c r="B110" s="263"/>
      <c r="C110" s="263"/>
      <c r="D110" s="263"/>
      <c r="E110" s="263"/>
      <c r="F110" s="335"/>
      <c r="G110" s="335"/>
      <c r="H110" s="335"/>
      <c r="I110" s="335"/>
      <c r="J110" s="335"/>
      <c r="K110" s="335"/>
      <c r="L110" s="336">
        <f>L106-L108</f>
        <v>4555184</v>
      </c>
      <c r="M110" s="337"/>
      <c r="N110" s="339"/>
      <c r="O110" s="168"/>
      <c r="P110" s="168"/>
      <c r="Q110" s="338">
        <f>Q106-Q108</f>
        <v>4555184</v>
      </c>
      <c r="R110" s="339"/>
      <c r="S110" s="339"/>
      <c r="T110" s="340">
        <f>T106-T108</f>
        <v>3340184</v>
      </c>
      <c r="U110" s="340">
        <f>U106-U108</f>
        <v>3340184</v>
      </c>
      <c r="V110" s="341">
        <f>V106-V108</f>
        <v>1735184</v>
      </c>
    </row>
    <row r="111" spans="1:23" ht="15.75" customHeight="1">
      <c r="G111" s="3"/>
      <c r="L111" s="290"/>
      <c r="M111" s="293"/>
      <c r="O111" s="90"/>
      <c r="P111" s="90"/>
      <c r="Q111" s="293"/>
      <c r="T111" s="299"/>
      <c r="U111" s="299"/>
      <c r="V111" s="310"/>
    </row>
    <row r="112" spans="1:23" ht="15.75" customHeight="1">
      <c r="A112" s="5" t="s">
        <v>104</v>
      </c>
      <c r="L112" s="290"/>
      <c r="M112" s="293"/>
      <c r="O112" s="90"/>
      <c r="P112" s="90"/>
      <c r="Q112" s="293"/>
      <c r="T112" s="299"/>
      <c r="U112" s="299"/>
      <c r="V112" s="310"/>
    </row>
    <row r="113" spans="1:24" ht="15.75" customHeight="1">
      <c r="A113" t="s">
        <v>119</v>
      </c>
      <c r="L113" s="288">
        <v>14423019</v>
      </c>
      <c r="M113" s="293"/>
      <c r="O113" s="90"/>
      <c r="P113" s="90"/>
      <c r="Q113" s="291">
        <f>L116+L117</f>
        <v>14465354</v>
      </c>
      <c r="T113" s="154">
        <f>Q116+Q117</f>
        <v>14265354</v>
      </c>
      <c r="U113" s="154">
        <f>T113</f>
        <v>14265354</v>
      </c>
      <c r="V113" s="309">
        <f>T116+T117</f>
        <v>13953925.428571429</v>
      </c>
    </row>
    <row r="114" spans="1:24">
      <c r="A114" t="s">
        <v>120</v>
      </c>
      <c r="L114" s="288">
        <v>42335</v>
      </c>
      <c r="M114" s="293"/>
      <c r="O114" s="90"/>
      <c r="P114" s="90"/>
      <c r="Q114" s="291">
        <v>50000</v>
      </c>
      <c r="T114" s="154">
        <v>50000</v>
      </c>
      <c r="U114" s="154">
        <v>50000</v>
      </c>
      <c r="V114" s="309">
        <v>50000</v>
      </c>
    </row>
    <row r="115" spans="1:24">
      <c r="A115" s="14" t="s">
        <v>121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319"/>
      <c r="M115" s="14"/>
      <c r="O115" s="96"/>
      <c r="P115" s="96"/>
      <c r="Q115" s="319">
        <f>Q90*-1</f>
        <v>-250000</v>
      </c>
      <c r="R115" s="14"/>
      <c r="S115" s="14"/>
      <c r="T115" s="319">
        <f>T90*-1</f>
        <v>-361428.57142857142</v>
      </c>
      <c r="U115" s="319">
        <f t="shared" ref="U115:V115" si="38">U90*-1</f>
        <v>-361428.57142857142</v>
      </c>
      <c r="V115" s="319">
        <f t="shared" si="38"/>
        <v>-381428.57142857142</v>
      </c>
      <c r="W115" s="266" t="s">
        <v>122</v>
      </c>
    </row>
    <row r="116" spans="1:24">
      <c r="A116" t="s">
        <v>123</v>
      </c>
      <c r="L116" s="288">
        <v>7518880</v>
      </c>
      <c r="M116" s="293"/>
      <c r="O116" s="90"/>
      <c r="P116" s="90"/>
      <c r="Q116" s="291">
        <f>L116</f>
        <v>7518880</v>
      </c>
      <c r="T116" s="154">
        <f>Q116</f>
        <v>7518880</v>
      </c>
      <c r="U116" s="154">
        <f>T116</f>
        <v>7518880</v>
      </c>
      <c r="V116" s="309">
        <f>T116</f>
        <v>7518880</v>
      </c>
      <c r="W116" s="266" t="s">
        <v>124</v>
      </c>
    </row>
    <row r="117" spans="1:24" s="5" customFormat="1">
      <c r="A117" s="5" t="s">
        <v>125</v>
      </c>
      <c r="L117" s="287">
        <f>L113+L114-L116</f>
        <v>6946474</v>
      </c>
      <c r="M117" s="294"/>
      <c r="O117" s="90"/>
      <c r="P117" s="90"/>
      <c r="Q117" s="237">
        <f>Q113+Q114-Q116+Q115</f>
        <v>6746474</v>
      </c>
      <c r="T117" s="298">
        <f>T113+T114-T116+T115</f>
        <v>6435045.4285714282</v>
      </c>
      <c r="U117" s="298">
        <f>U113+U114-U116+U115</f>
        <v>6435045.4285714282</v>
      </c>
      <c r="V117" s="308">
        <f>V113+V114-V116+V115</f>
        <v>6103616.8571428573</v>
      </c>
      <c r="W117" s="333"/>
    </row>
    <row r="118" spans="1:24">
      <c r="L118" s="288"/>
      <c r="M118" s="293"/>
      <c r="O118" s="90"/>
      <c r="P118" s="90"/>
      <c r="Q118" s="291"/>
      <c r="T118" s="299"/>
      <c r="U118" s="299"/>
      <c r="V118" s="310"/>
    </row>
    <row r="119" spans="1:24">
      <c r="A119" s="5" t="s">
        <v>126</v>
      </c>
      <c r="L119" s="288"/>
      <c r="M119" s="293"/>
      <c r="O119" s="90"/>
      <c r="P119" s="90"/>
      <c r="Q119" s="291"/>
      <c r="T119" s="299"/>
      <c r="U119" s="299"/>
      <c r="V119" s="310"/>
    </row>
    <row r="120" spans="1:24">
      <c r="A120" t="s">
        <v>127</v>
      </c>
      <c r="L120" s="288">
        <v>542200</v>
      </c>
      <c r="M120" s="293"/>
      <c r="O120" s="90"/>
      <c r="P120" s="90"/>
      <c r="Q120" s="291">
        <f>L122</f>
        <v>542200</v>
      </c>
      <c r="T120" s="154">
        <f>Q122</f>
        <v>492200</v>
      </c>
      <c r="U120" s="154">
        <f>T120</f>
        <v>492200</v>
      </c>
      <c r="V120" s="309">
        <f>T122</f>
        <v>442200</v>
      </c>
    </row>
    <row r="121" spans="1:24">
      <c r="A121" t="s">
        <v>128</v>
      </c>
      <c r="L121" s="288">
        <v>0</v>
      </c>
      <c r="M121" s="293"/>
      <c r="O121" s="90"/>
      <c r="P121" s="90"/>
      <c r="Q121" s="291">
        <v>50000</v>
      </c>
      <c r="T121" s="154">
        <v>50000</v>
      </c>
      <c r="U121" s="154">
        <v>50000</v>
      </c>
      <c r="V121" s="309">
        <v>50000</v>
      </c>
      <c r="W121" s="266" t="s">
        <v>129</v>
      </c>
    </row>
    <row r="122" spans="1:24">
      <c r="A122" s="342" t="s">
        <v>130</v>
      </c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6">
        <v>542200</v>
      </c>
      <c r="M122" s="343"/>
      <c r="N122" s="342"/>
      <c r="O122" s="168"/>
      <c r="P122" s="168"/>
      <c r="Q122" s="338">
        <f>Q120-Q121</f>
        <v>492200</v>
      </c>
      <c r="R122" s="339"/>
      <c r="S122" s="339"/>
      <c r="T122" s="340">
        <f>T120-T121</f>
        <v>442200</v>
      </c>
      <c r="U122" s="340">
        <f>U120-U121</f>
        <v>442200</v>
      </c>
      <c r="V122" s="341">
        <f>V120-V121</f>
        <v>392200</v>
      </c>
    </row>
    <row r="123" spans="1:24">
      <c r="L123" s="155"/>
      <c r="O123" s="90"/>
      <c r="P123" s="90"/>
      <c r="Q123" s="155"/>
    </row>
    <row r="124" spans="1:24" ht="30">
      <c r="A124" s="330" t="s">
        <v>131</v>
      </c>
      <c r="L124" s="155"/>
      <c r="O124" s="155">
        <v>150000</v>
      </c>
      <c r="Q124" s="291">
        <f>O124</f>
        <v>150000</v>
      </c>
      <c r="T124" s="154">
        <v>150000</v>
      </c>
      <c r="U124" s="154">
        <v>150000</v>
      </c>
      <c r="V124" s="309">
        <v>150000</v>
      </c>
      <c r="X124" s="3"/>
    </row>
    <row r="125" spans="1:24">
      <c r="L125" s="155"/>
      <c r="O125" s="90"/>
      <c r="P125" s="90"/>
      <c r="Q125" s="155"/>
    </row>
    <row r="126" spans="1:24" s="325" customFormat="1" ht="15" thickBot="1">
      <c r="A126" s="324" t="s">
        <v>132</v>
      </c>
      <c r="O126" s="326"/>
      <c r="P126" s="326"/>
      <c r="W126" s="334"/>
      <c r="X126" s="325" t="s">
        <v>1471</v>
      </c>
    </row>
    <row r="127" spans="1:24">
      <c r="A127" t="s">
        <v>133</v>
      </c>
      <c r="L127" s="290"/>
      <c r="M127" s="293"/>
      <c r="O127" s="155"/>
      <c r="Q127" s="351"/>
      <c r="R127" s="266"/>
      <c r="S127" s="266"/>
      <c r="T127" s="154">
        <v>2000000</v>
      </c>
      <c r="U127" s="154">
        <v>2000000</v>
      </c>
      <c r="V127" s="309"/>
      <c r="W127" s="266" t="s">
        <v>134</v>
      </c>
      <c r="X127" s="3">
        <f>T127*0.2/35</f>
        <v>11428.571428571429</v>
      </c>
    </row>
    <row r="128" spans="1:24">
      <c r="A128" t="s">
        <v>135</v>
      </c>
      <c r="L128" s="290"/>
      <c r="M128" s="293"/>
      <c r="O128" s="155">
        <v>500000</v>
      </c>
      <c r="P128" s="155"/>
      <c r="Q128" s="351">
        <v>500000</v>
      </c>
      <c r="R128" s="266"/>
      <c r="S128" s="266"/>
      <c r="T128" s="154"/>
      <c r="U128" s="154"/>
      <c r="V128" s="309"/>
      <c r="W128" s="266" t="s">
        <v>136</v>
      </c>
      <c r="X128" s="3">
        <f>O128/5</f>
        <v>100000</v>
      </c>
    </row>
    <row r="129" spans="1:24">
      <c r="A129" t="s">
        <v>137</v>
      </c>
      <c r="L129" s="290"/>
      <c r="M129" s="293"/>
      <c r="O129" s="90"/>
      <c r="P129" s="155"/>
      <c r="Q129" s="351"/>
      <c r="R129" s="266"/>
      <c r="S129" s="266"/>
      <c r="T129" s="154"/>
      <c r="U129" s="154"/>
      <c r="V129" s="309">
        <v>500000</v>
      </c>
      <c r="W129" s="266" t="s">
        <v>138</v>
      </c>
      <c r="X129" s="3">
        <f>V129/25</f>
        <v>20000</v>
      </c>
    </row>
    <row r="130" spans="1:24">
      <c r="A130" t="s">
        <v>139</v>
      </c>
      <c r="L130" s="290"/>
      <c r="M130" s="293"/>
      <c r="O130" s="90"/>
      <c r="P130" s="155"/>
      <c r="Q130" s="351"/>
      <c r="R130" s="266"/>
      <c r="S130" s="266"/>
      <c r="T130" s="154">
        <v>500000</v>
      </c>
      <c r="U130" s="154">
        <v>500000</v>
      </c>
      <c r="V130" s="309"/>
      <c r="W130" s="266" t="s">
        <v>140</v>
      </c>
      <c r="X130" s="3">
        <f>T130/5</f>
        <v>100000</v>
      </c>
    </row>
    <row r="131" spans="1:24">
      <c r="A131" t="s">
        <v>141</v>
      </c>
      <c r="L131" s="290"/>
      <c r="M131" s="293"/>
      <c r="O131" s="155">
        <v>300000</v>
      </c>
      <c r="Q131" s="351">
        <f>O131</f>
        <v>300000</v>
      </c>
      <c r="R131" s="266"/>
      <c r="S131" s="266"/>
      <c r="T131" s="154"/>
      <c r="U131" s="154"/>
      <c r="V131" s="309"/>
      <c r="W131" s="266" t="s">
        <v>142</v>
      </c>
      <c r="X131" s="3">
        <f>Q131/5</f>
        <v>60000</v>
      </c>
    </row>
    <row r="132" spans="1:24">
      <c r="A132" t="s">
        <v>143</v>
      </c>
      <c r="L132" s="290"/>
      <c r="M132" s="293"/>
      <c r="O132" s="90"/>
      <c r="P132" s="90"/>
      <c r="Q132" s="352"/>
      <c r="R132" s="266"/>
      <c r="S132" s="266"/>
      <c r="T132" s="154">
        <v>2000000</v>
      </c>
      <c r="U132" s="154">
        <v>200000</v>
      </c>
      <c r="V132" s="353"/>
      <c r="W132" s="266" t="s">
        <v>144</v>
      </c>
      <c r="X132" s="3">
        <f>T132/5</f>
        <v>400000</v>
      </c>
    </row>
    <row r="133" spans="1:24">
      <c r="A133" t="s">
        <v>1472</v>
      </c>
      <c r="L133" s="290"/>
      <c r="M133" s="293"/>
      <c r="O133" s="90"/>
      <c r="P133" s="90"/>
      <c r="Q133" s="352"/>
      <c r="R133" s="266"/>
      <c r="S133" s="266"/>
      <c r="T133" s="154">
        <v>500000</v>
      </c>
      <c r="U133" s="154">
        <v>500000</v>
      </c>
      <c r="V133" s="353"/>
      <c r="W133" s="266" t="s">
        <v>144</v>
      </c>
      <c r="X133" s="3">
        <f>T133/5</f>
        <v>100000</v>
      </c>
    </row>
    <row r="134" spans="1:24">
      <c r="O134" s="90"/>
      <c r="P134" s="90"/>
      <c r="Q134" s="273"/>
    </row>
    <row r="135" spans="1:24">
      <c r="P135" s="273"/>
      <c r="Q135" s="273"/>
    </row>
    <row r="136" spans="1:24">
      <c r="P136" s="273"/>
      <c r="Q136" s="273"/>
    </row>
    <row r="137" spans="1:24">
      <c r="P137" s="273"/>
      <c r="Q137" s="274"/>
    </row>
    <row r="138" spans="1:24">
      <c r="P138" s="273"/>
      <c r="Q138" s="274"/>
    </row>
    <row r="139" spans="1:24">
      <c r="P139" s="273"/>
      <c r="Q139" s="274"/>
    </row>
    <row r="140" spans="1:24">
      <c r="Q140" s="274"/>
    </row>
  </sheetData>
  <conditionalFormatting sqref="O35:O57">
    <cfRule type="cellIs" dxfId="73" priority="7" operator="greaterThan">
      <formula>0</formula>
    </cfRule>
    <cfRule type="cellIs" dxfId="72" priority="8" operator="lessThan">
      <formula>0</formula>
    </cfRule>
  </conditionalFormatting>
  <conditionalFormatting sqref="O6:P17 P18 O19:P25">
    <cfRule type="cellIs" dxfId="71" priority="23" operator="greaterThan">
      <formula>0</formula>
    </cfRule>
    <cfRule type="cellIs" dxfId="70" priority="24" operator="lessThan">
      <formula>0</formula>
    </cfRule>
  </conditionalFormatting>
  <conditionalFormatting sqref="O27:P27">
    <cfRule type="cellIs" dxfId="69" priority="19" operator="greaterThan">
      <formula>0</formula>
    </cfRule>
    <cfRule type="cellIs" dxfId="68" priority="20" operator="lessThan">
      <formula>0</formula>
    </cfRule>
  </conditionalFormatting>
  <conditionalFormatting sqref="O84:P84">
    <cfRule type="cellIs" dxfId="67" priority="5" operator="greaterThan">
      <formula>0</formula>
    </cfRule>
    <cfRule type="cellIs" dxfId="66" priority="6" operator="lessThan">
      <formula>0</formula>
    </cfRule>
  </conditionalFormatting>
  <conditionalFormatting sqref="O95:P95">
    <cfRule type="cellIs" dxfId="65" priority="3" operator="greaterThan">
      <formula>0</formula>
    </cfRule>
    <cfRule type="cellIs" dxfId="64" priority="4" operator="lessThan">
      <formula>0</formula>
    </cfRule>
  </conditionalFormatting>
  <conditionalFormatting sqref="P35:P83 R35:R83 O59:O81 O83 O96:P100">
    <cfRule type="cellIs" dxfId="63" priority="25" operator="greaterThan">
      <formula>0</formula>
    </cfRule>
    <cfRule type="cellIs" dxfId="62" priority="26" operator="lessThan">
      <formula>0</formula>
    </cfRule>
  </conditionalFormatting>
  <conditionalFormatting sqref="R7:R31">
    <cfRule type="cellIs" dxfId="61" priority="21" operator="greaterThan">
      <formula>0</formula>
    </cfRule>
    <cfRule type="cellIs" dxfId="60" priority="22" operator="lessThan">
      <formula>0</formula>
    </cfRule>
  </conditionalFormatting>
  <conditionalFormatting sqref="R84:R85">
    <cfRule type="cellIs" dxfId="59" priority="11" operator="greaterThan">
      <formula>0</formula>
    </cfRule>
    <cfRule type="cellIs" dxfId="58" priority="12" operator="lessThan">
      <formula>0</formula>
    </cfRule>
  </conditionalFormatting>
  <conditionalFormatting sqref="R90">
    <cfRule type="cellIs" dxfId="57" priority="1" operator="greaterThan">
      <formula>0</formula>
    </cfRule>
    <cfRule type="cellIs" dxfId="56" priority="2" operator="lessThan">
      <formula>0</formula>
    </cfRule>
  </conditionalFormatting>
  <conditionalFormatting sqref="R94:R100">
    <cfRule type="cellIs" dxfId="55" priority="13" operator="greaterThan">
      <formula>0</formula>
    </cfRule>
    <cfRule type="cellIs" dxfId="54" priority="14" operator="lessThan">
      <formula>0</formula>
    </cfRule>
  </conditionalFormatting>
  <pageMargins left="0.7" right="0.7" top="0.75" bottom="0.75" header="0.3" footer="0.3"/>
  <pageSetup paperSize="9" scale="3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95D4-7E0B-4368-9F5A-7E72795C03AE}">
  <sheetPr>
    <pageSetUpPr fitToPage="1"/>
  </sheetPr>
  <dimension ref="A1:F152"/>
  <sheetViews>
    <sheetView view="pageBreakPreview" topLeftCell="A61" zoomScaleNormal="120" zoomScaleSheetLayoutView="100" workbookViewId="0">
      <selection activeCell="D99" sqref="D99"/>
    </sheetView>
  </sheetViews>
  <sheetFormatPr baseColWidth="10" defaultColWidth="8.83203125" defaultRowHeight="18"/>
  <cols>
    <col min="1" max="1" width="50.83203125" style="358" customWidth="1"/>
    <col min="2" max="2" width="11.5" style="358" customWidth="1"/>
    <col min="3" max="3" width="13" style="358" bestFit="1" customWidth="1"/>
    <col min="4" max="4" width="12.5" style="358" customWidth="1"/>
    <col min="5" max="6" width="11.5" style="358" customWidth="1"/>
    <col min="7" max="7" width="17" style="358" bestFit="1" customWidth="1"/>
    <col min="8" max="16384" width="8.83203125" style="358"/>
  </cols>
  <sheetData>
    <row r="1" spans="1:6" ht="22">
      <c r="A1" s="357" t="s">
        <v>0</v>
      </c>
      <c r="B1" s="357"/>
      <c r="C1" s="357"/>
      <c r="D1" s="357"/>
      <c r="E1" s="357"/>
      <c r="F1" s="357"/>
    </row>
    <row r="2" spans="1:6" ht="22">
      <c r="A2" s="357" t="s">
        <v>1473</v>
      </c>
      <c r="B2" s="357"/>
      <c r="C2" s="357"/>
      <c r="D2" s="357"/>
      <c r="E2" s="357"/>
      <c r="F2" s="357"/>
    </row>
    <row r="3" spans="1:6">
      <c r="B3" s="360">
        <v>2019</v>
      </c>
      <c r="C3" s="361">
        <v>2020</v>
      </c>
      <c r="D3" s="362">
        <v>2020</v>
      </c>
      <c r="E3" s="363">
        <v>2021</v>
      </c>
      <c r="F3" s="364">
        <v>2022</v>
      </c>
    </row>
    <row r="4" spans="1:6">
      <c r="A4" s="365" t="s">
        <v>1474</v>
      </c>
      <c r="B4" s="366"/>
      <c r="C4" s="367">
        <f>C17/C7</f>
        <v>20500</v>
      </c>
      <c r="D4" s="368">
        <f>D17/D7</f>
        <v>19750</v>
      </c>
      <c r="E4" s="369">
        <v>20000</v>
      </c>
      <c r="F4" s="370">
        <v>20000</v>
      </c>
    </row>
    <row r="5" spans="1:6">
      <c r="A5" s="365" t="s">
        <v>1475</v>
      </c>
      <c r="B5" s="366">
        <v>250</v>
      </c>
      <c r="C5" s="367">
        <v>250</v>
      </c>
      <c r="D5" s="368">
        <v>250</v>
      </c>
      <c r="E5" s="369">
        <v>250</v>
      </c>
      <c r="F5" s="370">
        <v>250</v>
      </c>
    </row>
    <row r="6" spans="1:6">
      <c r="A6" s="359"/>
      <c r="B6" s="366"/>
      <c r="C6" s="367"/>
      <c r="D6" s="368"/>
      <c r="E6" s="369"/>
      <c r="F6" s="370"/>
    </row>
    <row r="7" spans="1:6">
      <c r="A7" s="365" t="s">
        <v>1476</v>
      </c>
      <c r="B7" s="371" t="s">
        <v>1477</v>
      </c>
      <c r="C7" s="367">
        <v>400</v>
      </c>
      <c r="D7" s="368">
        <v>400</v>
      </c>
      <c r="E7" s="369">
        <v>405</v>
      </c>
      <c r="F7" s="370">
        <v>410</v>
      </c>
    </row>
    <row r="8" spans="1:6">
      <c r="A8" s="365" t="s">
        <v>1478</v>
      </c>
      <c r="B8" s="366">
        <v>0</v>
      </c>
      <c r="C8" s="367">
        <v>0</v>
      </c>
      <c r="D8" s="368">
        <v>0</v>
      </c>
      <c r="E8" s="369">
        <v>0</v>
      </c>
      <c r="F8" s="370">
        <v>0</v>
      </c>
    </row>
    <row r="9" spans="1:6">
      <c r="A9" s="365" t="s">
        <v>1479</v>
      </c>
      <c r="B9" s="366">
        <v>75</v>
      </c>
      <c r="C9" s="367">
        <v>75</v>
      </c>
      <c r="D9" s="368">
        <v>75</v>
      </c>
      <c r="E9" s="369">
        <v>75</v>
      </c>
      <c r="F9" s="370">
        <v>75</v>
      </c>
    </row>
    <row r="10" spans="1:6">
      <c r="A10" s="365"/>
      <c r="B10" s="366"/>
      <c r="C10" s="367"/>
      <c r="D10" s="368"/>
      <c r="E10" s="369"/>
      <c r="F10" s="370"/>
    </row>
    <row r="11" spans="1:6" ht="31">
      <c r="A11" s="372" t="s">
        <v>1480</v>
      </c>
      <c r="B11" s="366"/>
      <c r="C11" s="367"/>
      <c r="D11" s="368"/>
      <c r="E11" s="369"/>
      <c r="F11" s="370"/>
    </row>
    <row r="12" spans="1:6">
      <c r="A12" s="365"/>
      <c r="B12" s="433"/>
      <c r="C12" s="433"/>
      <c r="D12" s="433"/>
      <c r="E12" s="433"/>
      <c r="F12" s="433"/>
    </row>
    <row r="13" spans="1:6" ht="22">
      <c r="A13" s="357" t="s">
        <v>0</v>
      </c>
      <c r="B13" s="357"/>
      <c r="C13" s="357"/>
      <c r="D13" s="357"/>
      <c r="E13" s="357"/>
      <c r="F13" s="357"/>
    </row>
    <row r="14" spans="1:6" ht="19">
      <c r="A14" s="373" t="s">
        <v>3</v>
      </c>
      <c r="B14" s="374" t="s">
        <v>1481</v>
      </c>
      <c r="C14" s="391" t="s">
        <v>1482</v>
      </c>
      <c r="D14" s="375" t="s">
        <v>10</v>
      </c>
      <c r="E14" s="376" t="s">
        <v>1483</v>
      </c>
      <c r="F14" s="377" t="s">
        <v>1483</v>
      </c>
    </row>
    <row r="15" spans="1:6">
      <c r="A15" s="378"/>
      <c r="B15" s="360">
        <v>2019</v>
      </c>
      <c r="C15" s="361">
        <v>2020</v>
      </c>
      <c r="D15" s="362">
        <v>2020</v>
      </c>
      <c r="E15" s="363">
        <v>2021</v>
      </c>
      <c r="F15" s="364">
        <v>2022</v>
      </c>
    </row>
    <row r="16" spans="1:6">
      <c r="A16" s="365"/>
      <c r="B16" s="366"/>
      <c r="C16" s="367"/>
      <c r="D16" s="368"/>
      <c r="E16" s="369"/>
      <c r="F16" s="370"/>
    </row>
    <row r="17" spans="1:6">
      <c r="A17" s="365" t="s">
        <v>781</v>
      </c>
      <c r="B17" s="379">
        <v>7771971</v>
      </c>
      <c r="C17" s="380">
        <v>8200000</v>
      </c>
      <c r="D17" s="381">
        <f>'Budget m. LL22'!Q7</f>
        <v>7900000</v>
      </c>
      <c r="E17" s="382">
        <f>E4*E7</f>
        <v>8100000</v>
      </c>
      <c r="F17" s="383">
        <f>F4*F7</f>
        <v>8200000</v>
      </c>
    </row>
    <row r="18" spans="1:6">
      <c r="A18" s="359" t="s">
        <v>20</v>
      </c>
      <c r="B18" s="384">
        <f>SUM(B17)</f>
        <v>7771971</v>
      </c>
      <c r="C18" s="385">
        <f>SUM(C17)</f>
        <v>8200000</v>
      </c>
      <c r="D18" s="386">
        <f>'Budget m. LL22'!Q8</f>
        <v>7900000</v>
      </c>
      <c r="E18" s="387">
        <f>'Budget m. LL22'!T8</f>
        <v>8100000</v>
      </c>
      <c r="F18" s="388">
        <f>'Budget m. LL22'!V8</f>
        <v>8200000</v>
      </c>
    </row>
    <row r="19" spans="1:6">
      <c r="A19" s="365"/>
      <c r="B19" s="379"/>
      <c r="C19" s="380"/>
      <c r="D19" s="381"/>
      <c r="E19" s="382"/>
      <c r="F19" s="383"/>
    </row>
    <row r="20" spans="1:6">
      <c r="A20" s="389" t="s">
        <v>21</v>
      </c>
      <c r="B20" s="379">
        <v>7148832</v>
      </c>
      <c r="C20" s="380">
        <v>7400000</v>
      </c>
      <c r="D20" s="381">
        <f>'Budget m. LL22'!Q10</f>
        <v>7148832</v>
      </c>
      <c r="E20" s="382">
        <f>'Budget m. LL22'!T10</f>
        <v>7250000</v>
      </c>
      <c r="F20" s="383">
        <f>'Budget m. LL22'!V10</f>
        <v>7250000</v>
      </c>
    </row>
    <row r="21" spans="1:6">
      <c r="A21" s="365" t="s">
        <v>23</v>
      </c>
      <c r="B21" s="379">
        <v>244095</v>
      </c>
      <c r="C21" s="380">
        <v>250000</v>
      </c>
      <c r="D21" s="381">
        <f>'Budget m. LL22'!Q11</f>
        <v>250000</v>
      </c>
      <c r="E21" s="382">
        <f>'Budget m. LL22'!T11</f>
        <v>250000</v>
      </c>
      <c r="F21" s="383">
        <f>'Budget m. LL22'!V11</f>
        <v>250000</v>
      </c>
    </row>
    <row r="22" spans="1:6">
      <c r="A22" s="365" t="s">
        <v>24</v>
      </c>
      <c r="B22" s="379">
        <v>19674</v>
      </c>
      <c r="C22" s="380"/>
      <c r="D22" s="381">
        <f>'Budget m. LL22'!Q12</f>
        <v>10000</v>
      </c>
      <c r="E22" s="382">
        <f>'Budget m. LL22'!T12</f>
        <v>0</v>
      </c>
      <c r="F22" s="383">
        <f>'Budget m. LL22'!V12</f>
        <v>0</v>
      </c>
    </row>
    <row r="23" spans="1:6">
      <c r="A23" s="365" t="s">
        <v>25</v>
      </c>
      <c r="B23" s="379">
        <v>397575</v>
      </c>
      <c r="C23" s="380">
        <v>500000</v>
      </c>
      <c r="D23" s="381">
        <f>'Budget m. LL22'!Q13</f>
        <v>491675</v>
      </c>
      <c r="E23" s="382">
        <f>'Budget m. LL22'!T13</f>
        <v>400000</v>
      </c>
      <c r="F23" s="383">
        <f>'Budget m. LL22'!V13</f>
        <v>400000</v>
      </c>
    </row>
    <row r="24" spans="1:6">
      <c r="A24" s="365" t="s">
        <v>28</v>
      </c>
      <c r="B24" s="379"/>
      <c r="C24" s="380">
        <v>0</v>
      </c>
      <c r="D24" s="381">
        <f>'Budget m. LL22'!Q14</f>
        <v>625000</v>
      </c>
      <c r="E24" s="382">
        <f>'Budget m. LL22'!T14</f>
        <v>0</v>
      </c>
      <c r="F24" s="383">
        <f>'Budget m. LL22'!V14</f>
        <v>0</v>
      </c>
    </row>
    <row r="25" spans="1:6">
      <c r="A25" s="365" t="s">
        <v>30</v>
      </c>
      <c r="B25" s="379"/>
      <c r="C25" s="380">
        <v>0</v>
      </c>
      <c r="D25" s="381">
        <f>'Budget m. LL22'!Q15</f>
        <v>175000</v>
      </c>
      <c r="E25" s="382">
        <f>'Budget m. LL22'!T15</f>
        <v>0</v>
      </c>
      <c r="F25" s="383">
        <f>'Budget m. LL22'!V15</f>
        <v>0</v>
      </c>
    </row>
    <row r="26" spans="1:6">
      <c r="A26" s="359" t="s">
        <v>32</v>
      </c>
      <c r="B26" s="384">
        <f>SUM(B20:B23)</f>
        <v>7810176</v>
      </c>
      <c r="C26" s="385">
        <f>SUM(C20:C25)</f>
        <v>8150000</v>
      </c>
      <c r="D26" s="386">
        <f>'Budget m. LL22'!Q16</f>
        <v>8700507</v>
      </c>
      <c r="E26" s="387">
        <f>'Budget m. LL22'!T16</f>
        <v>7900000</v>
      </c>
      <c r="F26" s="388">
        <f>'Budget m. LL22'!V16</f>
        <v>7900000</v>
      </c>
    </row>
    <row r="27" spans="1:6">
      <c r="A27" s="359"/>
      <c r="B27" s="384"/>
      <c r="C27" s="385"/>
      <c r="D27" s="386"/>
      <c r="E27" s="387"/>
      <c r="F27" s="388"/>
    </row>
    <row r="28" spans="1:6">
      <c r="A28" s="365" t="s">
        <v>33</v>
      </c>
      <c r="B28" s="379">
        <v>130996</v>
      </c>
      <c r="C28" s="380">
        <v>500000</v>
      </c>
      <c r="D28" s="381">
        <f>'Budget m. LL22'!Q18</f>
        <v>-250000</v>
      </c>
      <c r="E28" s="382">
        <f>'Budget m. LL22'!T18</f>
        <v>150000</v>
      </c>
      <c r="F28" s="383">
        <f>'Budget m. LL22'!V18</f>
        <v>700000</v>
      </c>
    </row>
    <row r="29" spans="1:6">
      <c r="A29" s="365" t="s">
        <v>35</v>
      </c>
      <c r="B29" s="379">
        <v>148328</v>
      </c>
      <c r="C29" s="380"/>
      <c r="D29" s="381">
        <f>'Budget m. LL22'!Q19</f>
        <v>-30000</v>
      </c>
      <c r="E29" s="382"/>
      <c r="F29" s="383">
        <f>'Budget m. LL22'!V19</f>
        <v>0</v>
      </c>
    </row>
    <row r="30" spans="1:6">
      <c r="A30" s="365" t="s">
        <v>37</v>
      </c>
      <c r="B30" s="379">
        <v>100138</v>
      </c>
      <c r="C30" s="380">
        <v>100000</v>
      </c>
      <c r="D30" s="381">
        <f>'Budget m. LL22'!Q20</f>
        <v>100000</v>
      </c>
      <c r="E30" s="382">
        <f>'Budget m. LL22'!T20</f>
        <v>100000</v>
      </c>
      <c r="F30" s="383">
        <f>'Budget m. LL22'!V20</f>
        <v>100000</v>
      </c>
    </row>
    <row r="31" spans="1:6">
      <c r="A31" s="365" t="s">
        <v>39</v>
      </c>
      <c r="B31" s="379">
        <v>1938595</v>
      </c>
      <c r="C31" s="380"/>
      <c r="D31" s="386">
        <f>'Budget m. LL22'!Q21</f>
        <v>400000</v>
      </c>
      <c r="E31" s="382"/>
      <c r="F31" s="383">
        <f>'Budget m. LL22'!V21</f>
        <v>0</v>
      </c>
    </row>
    <row r="32" spans="1:6">
      <c r="A32" s="389" t="s">
        <v>41</v>
      </c>
      <c r="B32" s="379">
        <v>0</v>
      </c>
      <c r="C32" s="380"/>
      <c r="D32" s="381">
        <v>0</v>
      </c>
      <c r="E32" s="382">
        <f>'Budget m. LL22'!T22</f>
        <v>0</v>
      </c>
      <c r="F32" s="383">
        <f>'Budget m. LL22'!V22</f>
        <v>-800000</v>
      </c>
    </row>
    <row r="33" spans="1:6">
      <c r="A33" s="359" t="s">
        <v>42</v>
      </c>
      <c r="B33" s="384">
        <f>SUM(B28:B32)</f>
        <v>2318057</v>
      </c>
      <c r="C33" s="385">
        <f>SUM(C28:C32)</f>
        <v>600000</v>
      </c>
      <c r="D33" s="386">
        <f>'Budget m. LL22'!Q23</f>
        <v>220000</v>
      </c>
      <c r="E33" s="387">
        <f>'Budget m. LL22'!T23</f>
        <v>250000</v>
      </c>
      <c r="F33" s="388">
        <f>'Budget m. LL22'!V23</f>
        <v>0</v>
      </c>
    </row>
    <row r="34" spans="1:6">
      <c r="A34" s="365"/>
      <c r="B34" s="379"/>
      <c r="C34" s="380"/>
      <c r="D34" s="386"/>
      <c r="E34" s="387"/>
      <c r="F34" s="388"/>
    </row>
    <row r="35" spans="1:6">
      <c r="A35" s="359" t="s">
        <v>43</v>
      </c>
      <c r="B35" s="384">
        <v>72288</v>
      </c>
      <c r="C35" s="385">
        <v>50000</v>
      </c>
      <c r="D35" s="386">
        <f>'Budget m. LL22'!Q25</f>
        <v>55000</v>
      </c>
      <c r="E35" s="387">
        <f>'Budget m. LL22'!T25</f>
        <v>50000</v>
      </c>
      <c r="F35" s="388">
        <f>'Budget m. LL22'!V25</f>
        <v>50000</v>
      </c>
    </row>
    <row r="36" spans="1:6">
      <c r="A36" s="365"/>
      <c r="B36" s="379"/>
      <c r="C36" s="380"/>
      <c r="D36" s="386"/>
      <c r="E36" s="387"/>
      <c r="F36" s="388"/>
    </row>
    <row r="37" spans="1:6">
      <c r="A37" s="359" t="s">
        <v>44</v>
      </c>
      <c r="B37" s="384">
        <f>+B35+B33+B26+B18</f>
        <v>17972492</v>
      </c>
      <c r="C37" s="385">
        <f>+C18+C26+C33+C35</f>
        <v>17000000</v>
      </c>
      <c r="D37" s="386">
        <f>'Budget m. LL22'!Q27</f>
        <v>16875507</v>
      </c>
      <c r="E37" s="387">
        <f>'Budget m. LL22'!T27</f>
        <v>16300000</v>
      </c>
      <c r="F37" s="388">
        <f>'Budget m. LL22'!V27</f>
        <v>16150000</v>
      </c>
    </row>
    <row r="38" spans="1:6">
      <c r="A38" s="359"/>
      <c r="B38" s="390"/>
      <c r="C38" s="390"/>
      <c r="D38" s="390"/>
      <c r="E38" s="390"/>
      <c r="F38" s="390"/>
    </row>
    <row r="39" spans="1:6">
      <c r="A39" s="365"/>
      <c r="B39" s="365"/>
      <c r="C39" s="365"/>
      <c r="D39" s="365"/>
      <c r="E39" s="365"/>
      <c r="F39" s="365"/>
    </row>
    <row r="40" spans="1:6" ht="19">
      <c r="A40" s="373" t="s">
        <v>46</v>
      </c>
      <c r="B40" s="374" t="s">
        <v>1481</v>
      </c>
      <c r="C40" s="391" t="s">
        <v>1482</v>
      </c>
      <c r="D40" s="375" t="s">
        <v>10</v>
      </c>
      <c r="E40" s="376" t="s">
        <v>1483</v>
      </c>
      <c r="F40" s="377" t="s">
        <v>1483</v>
      </c>
    </row>
    <row r="41" spans="1:6">
      <c r="A41" s="378"/>
      <c r="B41" s="360">
        <v>2019</v>
      </c>
      <c r="C41" s="361">
        <v>2020</v>
      </c>
      <c r="D41" s="362">
        <v>2020</v>
      </c>
      <c r="E41" s="363">
        <v>2021</v>
      </c>
      <c r="F41" s="364">
        <v>2022</v>
      </c>
    </row>
    <row r="42" spans="1:6">
      <c r="A42" s="365"/>
      <c r="B42" s="374"/>
      <c r="C42" s="392"/>
      <c r="D42" s="393"/>
      <c r="E42" s="376"/>
      <c r="F42" s="377"/>
    </row>
    <row r="43" spans="1:6">
      <c r="A43" s="365" t="s">
        <v>47</v>
      </c>
      <c r="B43" s="394">
        <v>9141385</v>
      </c>
      <c r="C43" s="395">
        <v>9350000</v>
      </c>
      <c r="D43" s="381">
        <f>'Budget m. LL22'!Q35</f>
        <v>9350000</v>
      </c>
      <c r="E43" s="382">
        <f>'Budget m. LL22'!T35</f>
        <v>9300000</v>
      </c>
      <c r="F43" s="383">
        <f>'Budget m. LL22'!V35</f>
        <v>9300000</v>
      </c>
    </row>
    <row r="44" spans="1:6">
      <c r="A44" s="365" t="s">
        <v>48</v>
      </c>
      <c r="B44" s="379">
        <v>617959</v>
      </c>
      <c r="C44" s="380">
        <v>650000</v>
      </c>
      <c r="D44" s="381">
        <f>'Budget m. LL22'!Q36</f>
        <v>500000</v>
      </c>
      <c r="E44" s="382">
        <f>'Budget m. LL22'!T36</f>
        <v>650000</v>
      </c>
      <c r="F44" s="383">
        <f>'Budget m. LL22'!V36</f>
        <v>650000</v>
      </c>
    </row>
    <row r="45" spans="1:6">
      <c r="A45" s="365" t="s">
        <v>50</v>
      </c>
      <c r="B45" s="379">
        <v>273399</v>
      </c>
      <c r="C45" s="380">
        <v>250000</v>
      </c>
      <c r="D45" s="381">
        <f>'Budget m. LL22'!Q37</f>
        <v>150000</v>
      </c>
      <c r="E45" s="382">
        <f>'Budget m. LL22'!T37</f>
        <v>300000</v>
      </c>
      <c r="F45" s="383">
        <f>'Budget m. LL22'!V37</f>
        <v>300000</v>
      </c>
    </row>
    <row r="46" spans="1:6">
      <c r="A46" s="359" t="s">
        <v>52</v>
      </c>
      <c r="B46" s="384">
        <f>SUM(B43:B45)</f>
        <v>10032743</v>
      </c>
      <c r="C46" s="385">
        <f>SUM(C43:C45)</f>
        <v>10250000</v>
      </c>
      <c r="D46" s="386">
        <f>'Budget m. LL22'!Q38</f>
        <v>10000000</v>
      </c>
      <c r="E46" s="387">
        <f>'Budget m. LL22'!T38</f>
        <v>10250000</v>
      </c>
      <c r="F46" s="388">
        <f>'Budget m. LL22'!V38</f>
        <v>10250000</v>
      </c>
    </row>
    <row r="47" spans="1:6">
      <c r="A47" s="359"/>
      <c r="B47" s="384"/>
      <c r="C47" s="385"/>
      <c r="D47" s="386"/>
      <c r="E47" s="387"/>
      <c r="F47" s="388"/>
    </row>
    <row r="48" spans="1:6">
      <c r="A48" s="365" t="s">
        <v>53</v>
      </c>
      <c r="B48" s="379">
        <v>175767</v>
      </c>
      <c r="C48" s="380">
        <v>250000</v>
      </c>
      <c r="D48" s="381">
        <f>'Budget m. LL22'!Q40</f>
        <v>250000</v>
      </c>
      <c r="E48" s="382">
        <f>'Budget m. LL22'!T40</f>
        <v>300000</v>
      </c>
      <c r="F48" s="383">
        <f>'Budget m. LL22'!V40</f>
        <v>325000</v>
      </c>
    </row>
    <row r="49" spans="1:6">
      <c r="A49" s="365" t="s">
        <v>54</v>
      </c>
      <c r="B49" s="379">
        <v>159834</v>
      </c>
      <c r="C49" s="380">
        <v>150000</v>
      </c>
      <c r="D49" s="381">
        <f>'Budget m. LL22'!Q41</f>
        <v>125000</v>
      </c>
      <c r="E49" s="382">
        <f>'Budget m. LL22'!T41</f>
        <v>150000</v>
      </c>
      <c r="F49" s="383">
        <f>'Budget m. LL22'!V41</f>
        <v>150000</v>
      </c>
    </row>
    <row r="50" spans="1:6">
      <c r="A50" s="365" t="s">
        <v>56</v>
      </c>
      <c r="B50" s="379">
        <v>8215</v>
      </c>
      <c r="C50" s="380">
        <v>25000</v>
      </c>
      <c r="D50" s="381">
        <f>'Budget m. LL22'!Q43</f>
        <v>25000</v>
      </c>
      <c r="E50" s="382">
        <f>'Budget m. LL22'!T43</f>
        <v>25000</v>
      </c>
      <c r="F50" s="383">
        <f>'Budget m. LL22'!V43</f>
        <v>25000</v>
      </c>
    </row>
    <row r="51" spans="1:6">
      <c r="A51" s="359" t="s">
        <v>57</v>
      </c>
      <c r="B51" s="384">
        <f>SUM(B48:B50)</f>
        <v>343816</v>
      </c>
      <c r="C51" s="385">
        <f>SUM(C48:C50)</f>
        <v>425000</v>
      </c>
      <c r="D51" s="386">
        <f>'Budget m. LL22'!Q44</f>
        <v>400000</v>
      </c>
      <c r="E51" s="387">
        <f>'Budget m. LL22'!T44</f>
        <v>475000</v>
      </c>
      <c r="F51" s="388">
        <f>'Budget m. LL22'!V44</f>
        <v>500000</v>
      </c>
    </row>
    <row r="52" spans="1:6">
      <c r="A52" s="359"/>
      <c r="B52" s="384"/>
      <c r="C52" s="398"/>
      <c r="D52" s="386"/>
      <c r="E52" s="387"/>
      <c r="F52" s="388"/>
    </row>
    <row r="53" spans="1:6">
      <c r="A53" s="389" t="s">
        <v>1484</v>
      </c>
      <c r="B53" s="379">
        <v>529235</v>
      </c>
      <c r="C53" s="380">
        <v>300000</v>
      </c>
      <c r="D53" s="381">
        <f>'Budget m. LL22'!Q46</f>
        <v>250000</v>
      </c>
      <c r="E53" s="382">
        <f>'Budget m. LL22'!T46</f>
        <v>1515000</v>
      </c>
      <c r="F53" s="383">
        <f>'Budget m. LL22'!V46</f>
        <v>1905000</v>
      </c>
    </row>
    <row r="54" spans="1:6">
      <c r="A54" s="359" t="s">
        <v>60</v>
      </c>
      <c r="B54" s="384">
        <f>SUM(B53)</f>
        <v>529235</v>
      </c>
      <c r="C54" s="385">
        <f>SUM(C53)</f>
        <v>300000</v>
      </c>
      <c r="D54" s="386">
        <f>'Budget m. LL22'!Q47</f>
        <v>250000</v>
      </c>
      <c r="E54" s="387">
        <f>'Budget m. LL22'!T47</f>
        <v>1515000</v>
      </c>
      <c r="F54" s="388">
        <f>'Budget m. LL22'!V47</f>
        <v>1905000</v>
      </c>
    </row>
    <row r="55" spans="1:6">
      <c r="A55" s="365"/>
      <c r="B55" s="379"/>
      <c r="C55" s="398"/>
      <c r="D55" s="381"/>
      <c r="E55" s="382"/>
      <c r="F55" s="383"/>
    </row>
    <row r="56" spans="1:6">
      <c r="A56" s="365" t="s">
        <v>1485</v>
      </c>
      <c r="B56" s="379">
        <v>422289</v>
      </c>
      <c r="C56" s="380">
        <v>475000</v>
      </c>
      <c r="D56" s="381">
        <f>'Budget m. LL22'!Q49</f>
        <v>247330</v>
      </c>
      <c r="E56" s="382">
        <f>'Budget m. LL22'!T49</f>
        <v>250000</v>
      </c>
      <c r="F56" s="383">
        <f>'Budget m. LL22'!V49</f>
        <v>250000</v>
      </c>
    </row>
    <row r="57" spans="1:6">
      <c r="A57" s="365" t="s">
        <v>63</v>
      </c>
      <c r="B57" s="379">
        <v>185864</v>
      </c>
      <c r="C57" s="380">
        <v>220000</v>
      </c>
      <c r="D57" s="381">
        <f>'Budget m. LL22'!Q50</f>
        <v>169785</v>
      </c>
      <c r="E57" s="382">
        <f>'Budget m. LL22'!T50</f>
        <v>175000</v>
      </c>
      <c r="F57" s="383">
        <f>'Budget m. LL22'!V50</f>
        <v>175000</v>
      </c>
    </row>
    <row r="58" spans="1:6">
      <c r="A58" s="365" t="s">
        <v>64</v>
      </c>
      <c r="B58" s="379">
        <v>173000</v>
      </c>
      <c r="C58" s="380">
        <v>200000</v>
      </c>
      <c r="D58" s="381">
        <f>'Budget m. LL22'!Q51</f>
        <v>135134</v>
      </c>
      <c r="E58" s="382">
        <f>'Budget m. LL22'!T51</f>
        <v>135000</v>
      </c>
      <c r="F58" s="383">
        <f>'Budget m. LL22'!V51</f>
        <v>135000</v>
      </c>
    </row>
    <row r="59" spans="1:6">
      <c r="A59" s="396" t="s">
        <v>65</v>
      </c>
      <c r="B59" s="379">
        <v>193643</v>
      </c>
      <c r="C59" s="380">
        <v>250000</v>
      </c>
      <c r="D59" s="381">
        <f>'Budget m. LL22'!Q52</f>
        <v>177800</v>
      </c>
      <c r="E59" s="382">
        <f>'Budget m. LL22'!T52</f>
        <v>180000</v>
      </c>
      <c r="F59" s="383">
        <f>'Budget m. LL22'!V52</f>
        <v>180000</v>
      </c>
    </row>
    <row r="60" spans="1:6">
      <c r="A60" s="396" t="s">
        <v>67</v>
      </c>
      <c r="B60" s="379">
        <v>46115</v>
      </c>
      <c r="C60" s="380"/>
      <c r="D60" s="381">
        <f>'Budget m. LL22'!Q54</f>
        <v>0</v>
      </c>
      <c r="E60" s="382">
        <f>'Budget m. LL22'!T54</f>
        <v>0</v>
      </c>
      <c r="F60" s="383">
        <f>'Budget m. LL22'!V54</f>
        <v>0</v>
      </c>
    </row>
    <row r="61" spans="1:6">
      <c r="A61" s="397" t="s">
        <v>68</v>
      </c>
      <c r="B61" s="379">
        <v>147770</v>
      </c>
      <c r="C61" s="380">
        <v>250000</v>
      </c>
      <c r="D61" s="381">
        <f>'Budget m. LL22'!Q55</f>
        <v>120000</v>
      </c>
      <c r="E61" s="382">
        <f>'Budget m. LL22'!T55+'Budget m. LL22'!T56</f>
        <v>220000</v>
      </c>
      <c r="F61" s="383">
        <f>'Budget m. LL22'!U55+'Budget m. LL22'!U56</f>
        <v>220000</v>
      </c>
    </row>
    <row r="62" spans="1:6">
      <c r="A62" s="397" t="s">
        <v>70</v>
      </c>
      <c r="B62" s="379"/>
      <c r="C62" s="398"/>
      <c r="D62" s="381">
        <f>'Budget m. LL22'!Q57</f>
        <v>235000</v>
      </c>
      <c r="E62" s="382">
        <f>'Budget m. LL22'!T57</f>
        <v>150000</v>
      </c>
      <c r="F62" s="383">
        <f>'Budget m. LL22'!V57</f>
        <v>150000</v>
      </c>
    </row>
    <row r="63" spans="1:6">
      <c r="A63" s="359" t="s">
        <v>72</v>
      </c>
      <c r="B63" s="384">
        <f>SUM(B56:B61)</f>
        <v>1168681</v>
      </c>
      <c r="C63" s="385">
        <f>SUM(C56:C61)</f>
        <v>1395000</v>
      </c>
      <c r="D63" s="386">
        <f>'Budget m. LL22'!Q58</f>
        <v>1085049</v>
      </c>
      <c r="E63" s="387">
        <f>'Budget m. LL22'!T58</f>
        <v>1110000</v>
      </c>
      <c r="F63" s="388">
        <f>'Budget m. LL22'!V58</f>
        <v>1110000</v>
      </c>
    </row>
    <row r="64" spans="1:6">
      <c r="A64" s="359"/>
      <c r="B64" s="384"/>
      <c r="C64" s="380"/>
      <c r="D64" s="386"/>
      <c r="E64" s="387"/>
      <c r="F64" s="388"/>
    </row>
    <row r="65" spans="1:6">
      <c r="A65" s="365" t="s">
        <v>1486</v>
      </c>
      <c r="B65" s="379">
        <v>1452978</v>
      </c>
      <c r="C65" s="380">
        <v>1400000</v>
      </c>
      <c r="D65" s="381">
        <f>'Budget m. LL22'!Q60</f>
        <v>1600000</v>
      </c>
      <c r="E65" s="382">
        <f>'Budget m. LL22'!U60</f>
        <v>1650000</v>
      </c>
      <c r="F65" s="383">
        <f>'Budget m. LL22'!V60</f>
        <v>1400000</v>
      </c>
    </row>
    <row r="66" spans="1:6">
      <c r="A66" s="365" t="s">
        <v>1487</v>
      </c>
      <c r="B66" s="379">
        <v>757675</v>
      </c>
      <c r="C66" s="380">
        <v>500000</v>
      </c>
      <c r="D66" s="381">
        <f>'Budget m. LL22'!Q61</f>
        <v>1880000</v>
      </c>
      <c r="E66" s="382">
        <f>'Budget m. LL22'!U61</f>
        <v>1336428.5714285714</v>
      </c>
      <c r="F66" s="383">
        <f>'Budget m. LL22'!V61</f>
        <v>-223571.42857142858</v>
      </c>
    </row>
    <row r="67" spans="1:6">
      <c r="A67" s="365" t="s">
        <v>77</v>
      </c>
      <c r="B67" s="379">
        <v>-98776</v>
      </c>
      <c r="C67" s="380">
        <v>-100000</v>
      </c>
      <c r="D67" s="381">
        <f>'Budget m. LL22'!Q62</f>
        <v>-100000</v>
      </c>
      <c r="E67" s="382">
        <f>'Budget m. LL22'!T62</f>
        <v>-100000</v>
      </c>
      <c r="F67" s="383">
        <f>'Budget m. LL22'!V62</f>
        <v>-100000</v>
      </c>
    </row>
    <row r="68" spans="1:6">
      <c r="A68" s="389" t="s">
        <v>78</v>
      </c>
      <c r="B68" s="379">
        <v>10051</v>
      </c>
      <c r="C68" s="380"/>
      <c r="D68" s="381">
        <f>'Budget m. LL22'!Q63</f>
        <v>0</v>
      </c>
      <c r="E68" s="382">
        <f>'Budget m. LL22'!T63</f>
        <v>0</v>
      </c>
      <c r="F68" s="383">
        <f>'Budget m. LL22'!V63</f>
        <v>0</v>
      </c>
    </row>
    <row r="69" spans="1:6">
      <c r="A69" s="389" t="s">
        <v>1488</v>
      </c>
      <c r="B69" s="379"/>
      <c r="C69" s="380"/>
      <c r="D69" s="381">
        <f>'Budget m. LL22'!Q64</f>
        <v>150000</v>
      </c>
      <c r="E69" s="382">
        <f>'Budget m. LL22'!T64</f>
        <v>150000</v>
      </c>
      <c r="F69" s="383">
        <f>'Budget m. LL22'!V64</f>
        <v>150000</v>
      </c>
    </row>
    <row r="70" spans="1:6">
      <c r="A70" s="359" t="s">
        <v>80</v>
      </c>
      <c r="B70" s="384">
        <f>SUM(B65:B68)</f>
        <v>2121928</v>
      </c>
      <c r="C70" s="385">
        <f>SUM(C65:C68)</f>
        <v>1800000</v>
      </c>
      <c r="D70" s="386">
        <f>'Budget m. LL22'!Q65</f>
        <v>3530000</v>
      </c>
      <c r="E70" s="387">
        <f>SUM(E65:E69)</f>
        <v>3036428.5714285714</v>
      </c>
      <c r="F70" s="388">
        <f>'Budget m. LL22'!V65</f>
        <v>1226428.5714285714</v>
      </c>
    </row>
    <row r="71" spans="1:6">
      <c r="A71" s="359"/>
      <c r="B71" s="384"/>
      <c r="C71" s="380"/>
      <c r="D71" s="386"/>
      <c r="E71" s="387"/>
      <c r="F71" s="388"/>
    </row>
    <row r="72" spans="1:6">
      <c r="A72" s="365" t="s">
        <v>81</v>
      </c>
      <c r="B72" s="379">
        <v>161618</v>
      </c>
      <c r="C72" s="380">
        <v>75000</v>
      </c>
      <c r="D72" s="381">
        <f>'Budget m. LL22'!Q67</f>
        <v>375000</v>
      </c>
      <c r="E72" s="382">
        <f>'Budget m. LL22'!T67</f>
        <v>150000</v>
      </c>
      <c r="F72" s="383">
        <f>'Budget m. LL22'!V67</f>
        <v>150000</v>
      </c>
    </row>
    <row r="73" spans="1:6">
      <c r="A73" s="365" t="s">
        <v>83</v>
      </c>
      <c r="B73" s="379">
        <v>246088</v>
      </c>
      <c r="C73" s="380">
        <v>300000</v>
      </c>
      <c r="D73" s="381">
        <f>'Budget m. LL22'!Q68</f>
        <v>225000</v>
      </c>
      <c r="E73" s="382">
        <f>'Budget m. LL22'!T68</f>
        <v>275000</v>
      </c>
      <c r="F73" s="383">
        <f>'Budget m. LL22'!V68</f>
        <v>275000</v>
      </c>
    </row>
    <row r="74" spans="1:6">
      <c r="A74" s="365" t="s">
        <v>85</v>
      </c>
      <c r="B74" s="379">
        <v>-20901</v>
      </c>
      <c r="C74" s="380">
        <v>150000</v>
      </c>
      <c r="D74" s="381">
        <f>'Budget m. LL22'!Q69</f>
        <v>75000</v>
      </c>
      <c r="E74" s="382">
        <f>'Budget m. LL22'!T69</f>
        <v>50000</v>
      </c>
      <c r="F74" s="383">
        <f>'Budget m. LL22'!V69</f>
        <v>100000</v>
      </c>
    </row>
    <row r="75" spans="1:6">
      <c r="A75" s="359" t="s">
        <v>87</v>
      </c>
      <c r="B75" s="384">
        <f>SUM(B72:B74)</f>
        <v>386805</v>
      </c>
      <c r="C75" s="385">
        <f>SUM(C72:C74)</f>
        <v>525000</v>
      </c>
      <c r="D75" s="386">
        <f>'Budget m. LL22'!Q70</f>
        <v>675000</v>
      </c>
      <c r="E75" s="387">
        <f>'Budget m. LL22'!T70</f>
        <v>475000</v>
      </c>
      <c r="F75" s="388">
        <f>'Budget m. LL22'!V70</f>
        <v>525000</v>
      </c>
    </row>
    <row r="76" spans="1:6">
      <c r="A76" s="359"/>
      <c r="B76" s="384"/>
      <c r="C76" s="398"/>
      <c r="D76" s="386"/>
      <c r="E76" s="387"/>
      <c r="F76" s="388"/>
    </row>
    <row r="77" spans="1:6">
      <c r="A77" s="365" t="s">
        <v>88</v>
      </c>
      <c r="B77" s="379">
        <v>365931</v>
      </c>
      <c r="C77" s="380">
        <v>400000</v>
      </c>
      <c r="D77" s="381">
        <f>'Budget m. LL22'!Q72</f>
        <v>430000</v>
      </c>
      <c r="E77" s="382">
        <f>'Budget m. LL22'!T72</f>
        <v>400000</v>
      </c>
      <c r="F77" s="383">
        <f>'Budget m. LL22'!V72</f>
        <v>400000</v>
      </c>
    </row>
    <row r="78" spans="1:6">
      <c r="A78" s="365" t="s">
        <v>89</v>
      </c>
      <c r="B78" s="379">
        <v>207157</v>
      </c>
      <c r="C78" s="380">
        <v>220000</v>
      </c>
      <c r="D78" s="381">
        <f>'Budget m. LL22'!Q73</f>
        <v>200000</v>
      </c>
      <c r="E78" s="382">
        <f>'Budget m. LL22'!T73</f>
        <v>220000</v>
      </c>
      <c r="F78" s="383">
        <f>'Budget m. LL22'!V73</f>
        <v>220000</v>
      </c>
    </row>
    <row r="79" spans="1:6">
      <c r="A79" s="365" t="s">
        <v>91</v>
      </c>
      <c r="B79" s="379">
        <v>37500</v>
      </c>
      <c r="C79" s="380">
        <v>65000</v>
      </c>
      <c r="D79" s="381">
        <f>'Budget m. LL22'!Q74</f>
        <v>65000</v>
      </c>
      <c r="E79" s="382">
        <f>'Budget m. LL22'!T74</f>
        <v>65000</v>
      </c>
      <c r="F79" s="383">
        <f>'Budget m. LL22'!V74</f>
        <v>65000</v>
      </c>
    </row>
    <row r="80" spans="1:6">
      <c r="A80" s="365" t="s">
        <v>92</v>
      </c>
      <c r="B80" s="379">
        <v>15105</v>
      </c>
      <c r="C80" s="380">
        <v>0</v>
      </c>
      <c r="D80" s="381">
        <f>'Budget m. LL22'!Q75</f>
        <v>5000</v>
      </c>
      <c r="E80" s="382">
        <f>'Budget m. LL22'!T75</f>
        <v>0</v>
      </c>
      <c r="F80" s="383">
        <f>'Budget m. LL22'!V75</f>
        <v>0</v>
      </c>
    </row>
    <row r="81" spans="1:6">
      <c r="A81" s="358" t="s">
        <v>93</v>
      </c>
      <c r="B81" s="379">
        <v>1128788</v>
      </c>
      <c r="C81" s="380">
        <v>1100000</v>
      </c>
      <c r="D81" s="381">
        <f>'Budget m. LL22'!Q76+'Budget m. LL22'!Q77</f>
        <v>1240000</v>
      </c>
      <c r="E81" s="382">
        <f>'Budget m. LL22'!T76+'Budget m. LL22'!T77</f>
        <v>1560000</v>
      </c>
      <c r="F81" s="383">
        <f>'Budget m. LL22'!V76+'Budget m. LL22'!V77</f>
        <v>1560000</v>
      </c>
    </row>
    <row r="82" spans="1:6">
      <c r="A82" s="365" t="s">
        <v>95</v>
      </c>
      <c r="B82" s="379">
        <v>342900</v>
      </c>
      <c r="C82" s="380">
        <v>300000</v>
      </c>
      <c r="D82" s="381">
        <f>'Budget m. LL22'!Q78</f>
        <v>350000</v>
      </c>
      <c r="E82" s="382">
        <f>'Budget m. LL22'!T78</f>
        <v>300000</v>
      </c>
      <c r="F82" s="383">
        <f>'Budget m. LL22'!V78</f>
        <v>300000</v>
      </c>
    </row>
    <row r="83" spans="1:6">
      <c r="A83" s="359" t="s">
        <v>96</v>
      </c>
      <c r="B83" s="384">
        <f>SUM(B77:B82)</f>
        <v>2097381</v>
      </c>
      <c r="C83" s="399">
        <f>SUM(C77:C82)</f>
        <v>2085000</v>
      </c>
      <c r="D83" s="386">
        <f>'Budget m. LL22'!Q79</f>
        <v>2290000</v>
      </c>
      <c r="E83" s="387">
        <f>'Budget m. LL22'!T79</f>
        <v>2545000</v>
      </c>
      <c r="F83" s="388">
        <f>'Budget m. LL22'!V79</f>
        <v>2545000</v>
      </c>
    </row>
    <row r="84" spans="1:6">
      <c r="A84" s="359"/>
      <c r="B84" s="384"/>
      <c r="C84" s="398"/>
      <c r="D84" s="386"/>
      <c r="E84" s="387"/>
      <c r="F84" s="388"/>
    </row>
    <row r="85" spans="1:6">
      <c r="A85" s="359" t="s">
        <v>97</v>
      </c>
      <c r="B85" s="384">
        <v>23946</v>
      </c>
      <c r="C85" s="385">
        <v>25000</v>
      </c>
      <c r="D85" s="386">
        <f>'Budget m. LL22'!Q81</f>
        <v>25000</v>
      </c>
      <c r="E85" s="387">
        <f>'Budget m. LL22'!T81</f>
        <v>25000</v>
      </c>
      <c r="F85" s="388">
        <f>'Budget m. LL22'!V81</f>
        <v>25000</v>
      </c>
    </row>
    <row r="86" spans="1:6">
      <c r="A86" s="365"/>
      <c r="B86" s="379"/>
      <c r="C86" s="398"/>
      <c r="D86" s="381"/>
      <c r="E86" s="382"/>
      <c r="F86" s="383"/>
    </row>
    <row r="87" spans="1:6">
      <c r="A87" s="359" t="s">
        <v>98</v>
      </c>
      <c r="B87" s="384">
        <f>+B85+B83+B75+B70+B63+B54+B46+B51</f>
        <v>16704535</v>
      </c>
      <c r="C87" s="385">
        <f>C85+C83+C75+C70+C63+C54+C51+C46</f>
        <v>16805000</v>
      </c>
      <c r="D87" s="386">
        <f>'Budget m. LL22'!Q83</f>
        <v>18255049</v>
      </c>
      <c r="E87" s="387">
        <f>'Budget m. LL22'!U83</f>
        <v>19431428.571428571</v>
      </c>
      <c r="F87" s="388">
        <f>'Budget m. LL22'!V83</f>
        <v>18086428.571428571</v>
      </c>
    </row>
    <row r="88" spans="1:6">
      <c r="A88" s="359"/>
      <c r="B88" s="384"/>
      <c r="C88" s="385"/>
      <c r="D88" s="386"/>
      <c r="E88" s="387"/>
      <c r="F88" s="388"/>
    </row>
    <row r="89" spans="1:6">
      <c r="A89" s="359" t="s">
        <v>99</v>
      </c>
      <c r="B89" s="384">
        <f>+B37-B87</f>
        <v>1267957</v>
      </c>
      <c r="C89" s="385">
        <f>+C37-C87</f>
        <v>195000</v>
      </c>
      <c r="D89" s="386">
        <f>'Budget m. LL22'!Q85</f>
        <v>-1379542</v>
      </c>
      <c r="E89" s="387">
        <f>'Budget m. LL22'!U85</f>
        <v>-3131428.5714285709</v>
      </c>
      <c r="F89" s="388">
        <f>'Budget m. LL22'!V85</f>
        <v>-1936428.5714285709</v>
      </c>
    </row>
    <row r="90" spans="1:6">
      <c r="A90" s="365"/>
      <c r="B90" s="366"/>
      <c r="C90" s="380"/>
      <c r="D90" s="368"/>
      <c r="E90" s="369"/>
      <c r="F90" s="370"/>
    </row>
    <row r="91" spans="1:6">
      <c r="A91" s="389" t="s">
        <v>1489</v>
      </c>
      <c r="B91" s="366">
        <v>-1938595</v>
      </c>
      <c r="C91" s="398"/>
      <c r="D91" s="381">
        <f>'Budget m. LL22'!Q87</f>
        <v>-400000</v>
      </c>
      <c r="E91" s="382">
        <f>'Budget m. LL22'!T87</f>
        <v>0</v>
      </c>
      <c r="F91" s="383">
        <f>'Budget m. LL22'!V87</f>
        <v>0</v>
      </c>
    </row>
    <row r="92" spans="1:6">
      <c r="A92" s="400" t="s">
        <v>102</v>
      </c>
      <c r="B92" s="366"/>
      <c r="C92" s="385"/>
      <c r="D92" s="368"/>
      <c r="E92" s="382">
        <f>'Budget m. LL22'!T88</f>
        <v>0</v>
      </c>
      <c r="F92" s="383">
        <f>'Budget m. LL22'!V88</f>
        <v>0</v>
      </c>
    </row>
    <row r="93" spans="1:6">
      <c r="A93" s="389" t="s">
        <v>1490</v>
      </c>
      <c r="B93" s="366"/>
      <c r="C93" s="385"/>
      <c r="D93" s="368"/>
      <c r="E93" s="382">
        <f>'Budget m. LL22'!T89</f>
        <v>1215000</v>
      </c>
      <c r="F93" s="383">
        <f>'Budget m. LL22'!V89</f>
        <v>1605000</v>
      </c>
    </row>
    <row r="94" spans="1:6">
      <c r="A94" s="389" t="s">
        <v>1491</v>
      </c>
      <c r="B94" s="366"/>
      <c r="C94" s="367"/>
      <c r="D94" s="381">
        <f>'Budget m. LL22'!Q90</f>
        <v>250000</v>
      </c>
      <c r="E94" s="382">
        <f>'Budget m. LL22'!T90</f>
        <v>361428.57142857142</v>
      </c>
      <c r="F94" s="383">
        <f>'Budget m. LL22'!V90</f>
        <v>381428.57142857142</v>
      </c>
    </row>
    <row r="95" spans="1:6">
      <c r="A95" s="365"/>
      <c r="B95" s="366"/>
      <c r="C95" s="367"/>
      <c r="D95" s="368"/>
      <c r="E95" s="369"/>
      <c r="F95" s="370"/>
    </row>
    <row r="96" spans="1:6">
      <c r="A96" s="359" t="s">
        <v>105</v>
      </c>
      <c r="B96" s="401">
        <f>SUM(B91:B92)</f>
        <v>-1938595</v>
      </c>
      <c r="C96" s="367"/>
      <c r="D96" s="386">
        <f>'Budget m. LL22'!Q92</f>
        <v>-150000</v>
      </c>
      <c r="E96" s="387">
        <f>'Budget m. LL22'!T92</f>
        <v>1576428.5714285714</v>
      </c>
      <c r="F96" s="388">
        <f>'Budget m. LL22'!V92</f>
        <v>1986428.5714285714</v>
      </c>
    </row>
    <row r="97" spans="1:6">
      <c r="A97" s="365"/>
      <c r="B97" s="402"/>
      <c r="C97" s="367"/>
      <c r="D97" s="403"/>
      <c r="E97" s="404"/>
      <c r="F97" s="405"/>
    </row>
    <row r="98" spans="1:6">
      <c r="A98" s="365"/>
      <c r="B98" s="402"/>
      <c r="C98" s="367"/>
      <c r="D98" s="403"/>
      <c r="E98" s="404"/>
      <c r="F98" s="405"/>
    </row>
    <row r="99" spans="1:6">
      <c r="A99" s="359" t="s">
        <v>106</v>
      </c>
      <c r="B99" s="406">
        <f>+B89+B96</f>
        <v>-670638</v>
      </c>
      <c r="C99" s="407">
        <f>+C89+C96</f>
        <v>195000</v>
      </c>
      <c r="D99" s="408">
        <f>'Budget m. LL22'!Q95</f>
        <v>-1529542</v>
      </c>
      <c r="E99" s="442">
        <f>'Budget m. LL22'!U95</f>
        <v>-1554999.9999999995</v>
      </c>
      <c r="F99" s="409">
        <f>'Budget m. LL22'!V95</f>
        <v>50000.000000000466</v>
      </c>
    </row>
    <row r="100" spans="1:6">
      <c r="A100" s="359"/>
      <c r="B100" s="401"/>
      <c r="C100" s="410"/>
      <c r="D100" s="411"/>
      <c r="E100" s="412"/>
      <c r="F100" s="413"/>
    </row>
    <row r="101" spans="1:6">
      <c r="A101" s="359" t="s">
        <v>107</v>
      </c>
      <c r="B101" s="401"/>
      <c r="C101" s="414"/>
      <c r="D101" s="411"/>
      <c r="E101" s="412"/>
      <c r="F101" s="413"/>
    </row>
    <row r="102" spans="1:6">
      <c r="A102" s="365" t="s">
        <v>108</v>
      </c>
      <c r="B102" s="366">
        <f>B99-B103</f>
        <v>-801634</v>
      </c>
      <c r="C102" s="414"/>
      <c r="D102" s="381">
        <f>'Budget m. LL22'!Q98</f>
        <v>-1279542</v>
      </c>
      <c r="E102" s="382">
        <f>'Budget m. LL22'!T98</f>
        <v>-704999.99999999953</v>
      </c>
      <c r="F102" s="383">
        <f>'Budget m. LL22'!V98</f>
        <v>-649999.99999999953</v>
      </c>
    </row>
    <row r="103" spans="1:6">
      <c r="A103" s="365" t="s">
        <v>109</v>
      </c>
      <c r="B103" s="366">
        <f>B28</f>
        <v>130996</v>
      </c>
      <c r="C103" s="410"/>
      <c r="D103" s="381">
        <f>'Budget m. LL22'!Q99</f>
        <v>-250000</v>
      </c>
      <c r="E103" s="382">
        <f>'Budget m. LL22'!T99</f>
        <v>150000</v>
      </c>
      <c r="F103" s="383">
        <f>'Budget m. LL22'!V99</f>
        <v>700000</v>
      </c>
    </row>
    <row r="104" spans="1:6">
      <c r="A104" s="359" t="s">
        <v>110</v>
      </c>
      <c r="B104" s="401">
        <f>SUM(B102:B103)</f>
        <v>-670638</v>
      </c>
      <c r="C104" s="410"/>
      <c r="D104" s="386">
        <f>'Budget m. LL22'!Q100</f>
        <v>-1529542</v>
      </c>
      <c r="E104" s="387">
        <f>'Budget m. LL22'!T100</f>
        <v>-554999.99999999953</v>
      </c>
      <c r="F104" s="388">
        <f>'Budget m. LL22'!V100</f>
        <v>50000.000000000466</v>
      </c>
    </row>
    <row r="105" spans="1:6">
      <c r="A105" s="359"/>
      <c r="B105" s="390"/>
      <c r="C105" s="390"/>
      <c r="D105" s="390"/>
      <c r="E105" s="390"/>
      <c r="F105" s="390"/>
    </row>
    <row r="106" spans="1:6" ht="16.5" customHeight="1">
      <c r="A106" s="440" t="s">
        <v>1492</v>
      </c>
      <c r="B106" s="415"/>
      <c r="C106" s="415"/>
      <c r="D106" s="416"/>
      <c r="E106" s="416"/>
      <c r="F106" s="416"/>
    </row>
    <row r="107" spans="1:6" ht="20" thickBot="1">
      <c r="A107" s="417" t="s">
        <v>111</v>
      </c>
      <c r="B107" s="418"/>
      <c r="C107" s="418"/>
      <c r="D107" s="419"/>
      <c r="E107" s="418"/>
      <c r="F107" s="418"/>
    </row>
    <row r="108" spans="1:6">
      <c r="A108" s="420" t="s">
        <v>1493</v>
      </c>
      <c r="B108" s="443"/>
      <c r="C108" s="444"/>
      <c r="D108" s="444"/>
      <c r="E108" s="443"/>
      <c r="F108" s="443"/>
    </row>
    <row r="109" spans="1:6">
      <c r="A109" s="359" t="s">
        <v>103</v>
      </c>
      <c r="B109" s="445">
        <v>2019</v>
      </c>
      <c r="C109" s="451"/>
      <c r="D109" s="392">
        <v>2020</v>
      </c>
      <c r="E109" s="454">
        <v>2021</v>
      </c>
      <c r="F109" s="376">
        <v>2022</v>
      </c>
    </row>
    <row r="110" spans="1:6">
      <c r="A110" s="365" t="s">
        <v>112</v>
      </c>
      <c r="B110" s="446">
        <v>3143578</v>
      </c>
      <c r="C110" s="390"/>
      <c r="D110" s="399">
        <f>'Budget m. LL22'!Q104</f>
        <v>4555184</v>
      </c>
      <c r="E110" s="455">
        <f>'Budget m. LL22'!T104</f>
        <v>4555184</v>
      </c>
      <c r="F110" s="422">
        <f>'Budget m. LL22'!V104</f>
        <v>3340184</v>
      </c>
    </row>
    <row r="111" spans="1:6">
      <c r="A111" s="365" t="s">
        <v>113</v>
      </c>
      <c r="B111" s="447">
        <f>B91*-1</f>
        <v>1938595</v>
      </c>
      <c r="C111" s="433"/>
      <c r="D111" s="423">
        <f>'Budget m. LL22'!Q105</f>
        <v>400000</v>
      </c>
      <c r="E111" s="456">
        <f>'Budget m. LL22'!T105</f>
        <v>0</v>
      </c>
      <c r="F111" s="424">
        <f>'Budget m. LL22'!V105</f>
        <v>0</v>
      </c>
    </row>
    <row r="112" spans="1:6">
      <c r="A112" s="359" t="s">
        <v>114</v>
      </c>
      <c r="B112" s="448">
        <f>B110+B111</f>
        <v>5082173</v>
      </c>
      <c r="C112" s="452"/>
      <c r="D112" s="399">
        <f>'Budget m. LL22'!Q106</f>
        <v>4955184</v>
      </c>
      <c r="E112" s="455">
        <f>'Budget m. LL22'!T106</f>
        <v>4555184</v>
      </c>
      <c r="F112" s="422">
        <f>'Budget m. LL22'!V106</f>
        <v>3340184</v>
      </c>
    </row>
    <row r="113" spans="1:6">
      <c r="A113" s="365" t="s">
        <v>115</v>
      </c>
      <c r="B113" s="449"/>
      <c r="C113" s="452"/>
      <c r="D113" s="425"/>
      <c r="E113" s="456">
        <f>'Budget m. LL22'!T107</f>
        <v>1215000</v>
      </c>
      <c r="F113" s="424">
        <f>'Budget m. LL22'!V107</f>
        <v>1605000</v>
      </c>
    </row>
    <row r="114" spans="1:6">
      <c r="A114" s="359" t="s">
        <v>117</v>
      </c>
      <c r="B114" s="446">
        <f>93340+103030+255619+75000</f>
        <v>526989</v>
      </c>
      <c r="C114" s="390"/>
      <c r="D114" s="399">
        <f>'Budget m. LL22'!Q108</f>
        <v>400000</v>
      </c>
      <c r="E114" s="455">
        <f>'Budget m. LL22'!T108</f>
        <v>1215000</v>
      </c>
      <c r="F114" s="422">
        <f>'Budget m. LL22'!V108</f>
        <v>1605000</v>
      </c>
    </row>
    <row r="115" spans="1:6">
      <c r="A115" s="441" t="s">
        <v>118</v>
      </c>
      <c r="B115" s="450">
        <f>B112-B114</f>
        <v>4555184</v>
      </c>
      <c r="C115" s="453"/>
      <c r="D115" s="426">
        <f>'Budget m. LL22'!Q110</f>
        <v>4555184</v>
      </c>
      <c r="E115" s="457">
        <f>'Budget m. LL22'!T110</f>
        <v>3340184</v>
      </c>
      <c r="F115" s="427">
        <f>'Budget m. LL22'!V110</f>
        <v>1735184</v>
      </c>
    </row>
    <row r="116" spans="1:6">
      <c r="A116" s="359"/>
      <c r="B116" s="390"/>
      <c r="C116" s="390"/>
      <c r="D116" s="390"/>
      <c r="E116" s="458"/>
      <c r="F116" s="458"/>
    </row>
    <row r="117" spans="1:6">
      <c r="A117" s="420" t="s">
        <v>1494</v>
      </c>
      <c r="B117" s="428"/>
      <c r="C117" s="428"/>
      <c r="D117" s="428"/>
      <c r="E117" s="421"/>
      <c r="F117" s="421"/>
    </row>
    <row r="118" spans="1:6">
      <c r="A118" s="434" t="s">
        <v>104</v>
      </c>
      <c r="B118" s="445">
        <v>2019</v>
      </c>
      <c r="C118" s="451"/>
      <c r="D118" s="392">
        <v>2020</v>
      </c>
      <c r="E118" s="454">
        <v>2021</v>
      </c>
      <c r="F118" s="376">
        <v>2022</v>
      </c>
    </row>
    <row r="119" spans="1:6">
      <c r="A119" s="358" t="s">
        <v>119</v>
      </c>
      <c r="B119" s="446">
        <v>14423019</v>
      </c>
      <c r="C119" s="390"/>
      <c r="D119" s="399">
        <f>'Budget m. LL22'!Q113</f>
        <v>14465354</v>
      </c>
      <c r="E119" s="455">
        <f>'Budget m. LL22'!T113</f>
        <v>14265354</v>
      </c>
      <c r="F119" s="422">
        <f>'Budget m. LL22'!V113</f>
        <v>13953925.428571429</v>
      </c>
    </row>
    <row r="120" spans="1:6">
      <c r="A120" s="358" t="s">
        <v>120</v>
      </c>
      <c r="B120" s="447">
        <v>42335</v>
      </c>
      <c r="C120" s="433"/>
      <c r="D120" s="423">
        <f>'Budget m. LL22'!Q114</f>
        <v>50000</v>
      </c>
      <c r="E120" s="456">
        <f>'Budget m. LL22'!T114</f>
        <v>50000</v>
      </c>
      <c r="F120" s="424">
        <f>'Budget m. LL22'!V114</f>
        <v>50000</v>
      </c>
    </row>
    <row r="121" spans="1:6">
      <c r="A121" s="439" t="s">
        <v>121</v>
      </c>
      <c r="B121" s="447"/>
      <c r="C121" s="433"/>
      <c r="D121" s="423">
        <f>'Budget m. LL22'!Q115</f>
        <v>-250000</v>
      </c>
      <c r="E121" s="456">
        <f>'Budget m. LL22'!T115</f>
        <v>-361428.57142857142</v>
      </c>
      <c r="F121" s="424">
        <f>'Budget m. LL22'!V115</f>
        <v>-381428.57142857142</v>
      </c>
    </row>
    <row r="122" spans="1:6">
      <c r="A122" s="358" t="s">
        <v>123</v>
      </c>
      <c r="B122" s="447">
        <v>7518880</v>
      </c>
      <c r="C122" s="433"/>
      <c r="D122" s="423">
        <f>'Budget m. LL22'!Q116</f>
        <v>7518880</v>
      </c>
      <c r="E122" s="456">
        <f>'Budget m. LL22'!T116</f>
        <v>7518880</v>
      </c>
      <c r="F122" s="424">
        <f>'Budget m. LL22'!V116</f>
        <v>7518880</v>
      </c>
    </row>
    <row r="123" spans="1:6">
      <c r="A123" s="429" t="s">
        <v>125</v>
      </c>
      <c r="B123" s="450">
        <f>B119+B120-B122</f>
        <v>6946474</v>
      </c>
      <c r="C123" s="453"/>
      <c r="D123" s="426">
        <f>'Budget m. LL22'!Q117</f>
        <v>6746474</v>
      </c>
      <c r="E123" s="457">
        <f>'Budget m. LL22'!T117</f>
        <v>6435045.4285714282</v>
      </c>
      <c r="F123" s="427">
        <f>'Budget m. LL22'!V117</f>
        <v>6103616.8571428573</v>
      </c>
    </row>
    <row r="124" spans="1:6">
      <c r="A124" s="434"/>
      <c r="B124" s="390"/>
      <c r="C124" s="390"/>
      <c r="D124" s="390"/>
      <c r="E124" s="458"/>
      <c r="F124" s="458"/>
    </row>
    <row r="125" spans="1:6">
      <c r="A125" s="430" t="s">
        <v>1495</v>
      </c>
      <c r="B125" s="431"/>
      <c r="C125" s="431"/>
      <c r="D125" s="421"/>
      <c r="E125" s="421"/>
      <c r="F125" s="421"/>
    </row>
    <row r="126" spans="1:6">
      <c r="A126" s="459" t="s">
        <v>126</v>
      </c>
      <c r="B126" s="445">
        <v>2019</v>
      </c>
      <c r="C126" s="451"/>
      <c r="D126" s="392">
        <v>2020</v>
      </c>
      <c r="E126" s="454">
        <v>2021</v>
      </c>
      <c r="F126" s="376">
        <v>2022</v>
      </c>
    </row>
    <row r="127" spans="1:6">
      <c r="A127" s="358" t="s">
        <v>127</v>
      </c>
      <c r="B127" s="447">
        <v>542200</v>
      </c>
      <c r="C127" s="433"/>
      <c r="D127" s="423">
        <f>'Budget m. LL22'!Q120</f>
        <v>542200</v>
      </c>
      <c r="E127" s="456">
        <f>'Budget m. LL22'!T120</f>
        <v>492200</v>
      </c>
      <c r="F127" s="424">
        <f>'Budget m. LL22'!V120</f>
        <v>442200</v>
      </c>
    </row>
    <row r="128" spans="1:6">
      <c r="A128" s="358" t="s">
        <v>128</v>
      </c>
      <c r="B128" s="447">
        <v>0</v>
      </c>
      <c r="C128" s="433"/>
      <c r="D128" s="423">
        <f>'Budget m. LL22'!Q121</f>
        <v>50000</v>
      </c>
      <c r="E128" s="456">
        <f>'Budget m. LL22'!T121</f>
        <v>50000</v>
      </c>
      <c r="F128" s="424">
        <f>'Budget m. LL22'!V121</f>
        <v>50000</v>
      </c>
    </row>
    <row r="129" spans="1:6">
      <c r="A129" s="429" t="s">
        <v>130</v>
      </c>
      <c r="B129" s="450">
        <v>542200</v>
      </c>
      <c r="C129" s="453"/>
      <c r="D129" s="426">
        <f>'Budget m. LL22'!Q122</f>
        <v>492200</v>
      </c>
      <c r="E129" s="457">
        <f>'Budget m. LL22'!T122</f>
        <v>442200</v>
      </c>
      <c r="F129" s="427">
        <f>'Budget m. LL22'!V122</f>
        <v>392200</v>
      </c>
    </row>
    <row r="130" spans="1:6">
      <c r="A130" s="434"/>
      <c r="B130" s="390"/>
      <c r="C130" s="390"/>
      <c r="D130" s="390"/>
      <c r="E130" s="390"/>
      <c r="F130" s="390"/>
    </row>
    <row r="131" spans="1:6" ht="20" thickBot="1">
      <c r="A131" s="417" t="s">
        <v>1496</v>
      </c>
      <c r="B131" s="418"/>
      <c r="C131" s="418"/>
      <c r="D131" s="419"/>
      <c r="E131" s="418"/>
      <c r="F131" s="418"/>
    </row>
    <row r="132" spans="1:6">
      <c r="A132" s="430" t="s">
        <v>1497</v>
      </c>
      <c r="B132" s="431"/>
      <c r="C132" s="431"/>
      <c r="D132" s="431"/>
      <c r="E132" s="428"/>
      <c r="F132" s="428"/>
    </row>
    <row r="133" spans="1:6">
      <c r="A133" s="434"/>
      <c r="B133" s="433"/>
      <c r="C133" s="433"/>
      <c r="D133" s="392">
        <v>2020</v>
      </c>
      <c r="E133" s="454">
        <v>2021</v>
      </c>
      <c r="F133" s="376">
        <v>2022</v>
      </c>
    </row>
    <row r="134" spans="1:6" ht="35">
      <c r="A134" s="460" t="s">
        <v>131</v>
      </c>
      <c r="B134" s="433"/>
      <c r="C134" s="433"/>
      <c r="D134" s="423">
        <f>'Budget m. LL22'!Q124</f>
        <v>150000</v>
      </c>
      <c r="E134" s="456">
        <f>'Budget m. LL22'!T124</f>
        <v>150000</v>
      </c>
      <c r="F134" s="424">
        <f>'Budget m. LL22'!V124</f>
        <v>150000</v>
      </c>
    </row>
    <row r="135" spans="1:6">
      <c r="A135" s="432"/>
      <c r="B135" s="433"/>
      <c r="C135" s="433"/>
      <c r="D135" s="433"/>
      <c r="E135" s="433"/>
      <c r="F135" s="433"/>
    </row>
    <row r="136" spans="1:6">
      <c r="A136" s="430" t="s">
        <v>1498</v>
      </c>
      <c r="B136" s="431"/>
      <c r="C136" s="431"/>
      <c r="D136" s="431"/>
      <c r="E136" s="428"/>
      <c r="F136" s="428"/>
    </row>
    <row r="137" spans="1:6">
      <c r="A137" s="459" t="s">
        <v>1499</v>
      </c>
    </row>
    <row r="138" spans="1:6">
      <c r="A138" s="434"/>
      <c r="B138" s="392">
        <v>2020</v>
      </c>
      <c r="C138" s="454">
        <v>2021</v>
      </c>
      <c r="D138" s="376">
        <v>2022</v>
      </c>
      <c r="E138" s="616" t="s">
        <v>1500</v>
      </c>
      <c r="F138" s="616"/>
    </row>
    <row r="139" spans="1:6">
      <c r="A139" s="358" t="s">
        <v>1501</v>
      </c>
      <c r="B139" s="423"/>
      <c r="C139" s="456">
        <f>'Budget m. LL22'!T127</f>
        <v>2000000</v>
      </c>
      <c r="D139" s="424"/>
      <c r="E139" s="435">
        <v>11428.571428571429</v>
      </c>
    </row>
    <row r="140" spans="1:6">
      <c r="A140" s="358" t="s">
        <v>1502</v>
      </c>
      <c r="B140" s="423">
        <f>'Budget m. LL22'!Q128</f>
        <v>500000</v>
      </c>
      <c r="C140" s="456"/>
      <c r="D140" s="424"/>
      <c r="E140" s="435">
        <v>100000</v>
      </c>
    </row>
    <row r="141" spans="1:6">
      <c r="A141" s="358" t="s">
        <v>1503</v>
      </c>
      <c r="B141" s="423"/>
      <c r="C141" s="456"/>
      <c r="D141" s="424">
        <f>'Budget m. LL22'!V129</f>
        <v>500000</v>
      </c>
      <c r="E141" s="435">
        <v>20000</v>
      </c>
    </row>
    <row r="142" spans="1:6">
      <c r="A142" s="358" t="s">
        <v>1504</v>
      </c>
      <c r="B142" s="423"/>
      <c r="C142" s="456">
        <f>'Budget m. LL22'!T130</f>
        <v>500000</v>
      </c>
      <c r="D142" s="424"/>
      <c r="E142" s="435">
        <v>100000</v>
      </c>
    </row>
    <row r="143" spans="1:6">
      <c r="A143" s="358" t="s">
        <v>141</v>
      </c>
      <c r="B143" s="423">
        <f>'Budget m. LL22'!Q131</f>
        <v>300000</v>
      </c>
      <c r="C143" s="456"/>
      <c r="D143" s="424"/>
      <c r="E143" s="435">
        <v>60000</v>
      </c>
    </row>
    <row r="144" spans="1:6">
      <c r="A144" s="358" t="s">
        <v>143</v>
      </c>
      <c r="B144" s="423"/>
      <c r="C144" s="456">
        <f>'Budget m. LL22'!T132</f>
        <v>2000000</v>
      </c>
      <c r="D144" s="424"/>
      <c r="E144" s="435">
        <v>400000</v>
      </c>
    </row>
    <row r="145" spans="1:5">
      <c r="A145" s="358" t="s">
        <v>145</v>
      </c>
      <c r="B145" s="423"/>
      <c r="C145" s="456">
        <f>'Budget m. LL22'!T133</f>
        <v>500000</v>
      </c>
      <c r="D145" s="424"/>
      <c r="E145" s="435">
        <v>100000</v>
      </c>
    </row>
    <row r="146" spans="1:5">
      <c r="A146" s="436" t="s">
        <v>1505</v>
      </c>
      <c r="D146" s="437"/>
    </row>
    <row r="147" spans="1:5">
      <c r="D147" s="437"/>
    </row>
    <row r="148" spans="1:5">
      <c r="D148" s="437"/>
    </row>
    <row r="149" spans="1:5">
      <c r="D149" s="438"/>
    </row>
    <row r="150" spans="1:5">
      <c r="D150" s="438"/>
    </row>
    <row r="151" spans="1:5">
      <c r="D151" s="438"/>
    </row>
    <row r="152" spans="1:5">
      <c r="D152" s="438"/>
    </row>
  </sheetData>
  <mergeCells count="1">
    <mergeCell ref="E138:F138"/>
  </mergeCells>
  <pageMargins left="0.70866141732283472" right="0.70866141732283472" top="0.74803149606299213" bottom="0.74803149606299213" header="0.31496062992125984" footer="0.31496062992125984"/>
  <pageSetup paperSize="8" scale="54" fitToHeight="2" orientation="landscape" r:id="rId1"/>
  <rowBreaks count="1" manualBreakCount="1">
    <brk id="106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C4281-86E2-48E9-9681-E5C300173874}">
  <sheetPr>
    <pageSetUpPr fitToPage="1"/>
  </sheetPr>
  <dimension ref="A1:W150"/>
  <sheetViews>
    <sheetView tabSelected="1" zoomScaleNormal="100" zoomScaleSheetLayoutView="90" zoomScalePageLayoutView="67" workbookViewId="0">
      <selection activeCell="W18" sqref="W18"/>
    </sheetView>
  </sheetViews>
  <sheetFormatPr baseColWidth="10" defaultColWidth="8.83203125" defaultRowHeight="16"/>
  <cols>
    <col min="1" max="1" width="42" style="389" customWidth="1"/>
    <col min="2" max="7" width="12.83203125" style="389" hidden="1" customWidth="1"/>
    <col min="8" max="8" width="13.83203125" style="389" hidden="1" customWidth="1"/>
    <col min="9" max="9" width="12.83203125" style="389" hidden="1" customWidth="1"/>
    <col min="10" max="10" width="11.5" style="461" hidden="1" customWidth="1"/>
    <col min="11" max="11" width="12.83203125" style="389" hidden="1" customWidth="1"/>
    <col min="12" max="14" width="12.83203125" style="389" customWidth="1"/>
    <col min="15" max="16" width="12.83203125" style="389" hidden="1" customWidth="1"/>
    <col min="17" max="17" width="11" style="389" hidden="1" customWidth="1"/>
    <col min="18" max="22" width="10.83203125" style="389" bestFit="1" customWidth="1"/>
    <col min="23" max="23" width="12.1640625" style="389" customWidth="1"/>
    <col min="24" max="16384" width="8.83203125" style="389"/>
  </cols>
  <sheetData>
    <row r="1" spans="1:23" ht="19">
      <c r="A1" s="532" t="s">
        <v>1506</v>
      </c>
    </row>
    <row r="2" spans="1:23">
      <c r="A2" s="389" t="s">
        <v>2351</v>
      </c>
    </row>
    <row r="3" spans="1:23" hidden="1">
      <c r="A3" s="389" t="s">
        <v>1507</v>
      </c>
    </row>
    <row r="4" spans="1:23" hidden="1">
      <c r="A4" s="533"/>
      <c r="B4" s="485"/>
      <c r="C4" s="485"/>
      <c r="D4" s="485"/>
      <c r="E4" s="485"/>
      <c r="F4" s="485"/>
      <c r="G4" s="485"/>
      <c r="H4" s="485"/>
      <c r="I4" s="485"/>
      <c r="J4" s="546"/>
      <c r="K4" s="485"/>
      <c r="L4" s="485"/>
      <c r="M4" s="485"/>
      <c r="N4" s="485"/>
      <c r="O4" s="485"/>
      <c r="P4" s="485"/>
    </row>
    <row r="5" spans="1:23" ht="6" hidden="1" customHeight="1">
      <c r="A5" s="365"/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</row>
    <row r="6" spans="1:23" hidden="1">
      <c r="A6" s="485" t="s">
        <v>0</v>
      </c>
      <c r="B6" s="485"/>
      <c r="C6" s="485"/>
      <c r="D6" s="485"/>
      <c r="E6" s="485"/>
      <c r="F6" s="474"/>
      <c r="G6" s="485"/>
      <c r="H6" s="485"/>
      <c r="I6" s="485"/>
      <c r="J6" s="546"/>
      <c r="K6" s="485"/>
      <c r="L6" s="485"/>
      <c r="M6" s="485"/>
      <c r="N6" s="485"/>
      <c r="O6" s="485"/>
      <c r="P6" s="485"/>
    </row>
    <row r="7" spans="1:23" ht="70">
      <c r="A7" s="486" t="s">
        <v>3</v>
      </c>
      <c r="B7" s="515" t="s">
        <v>1481</v>
      </c>
      <c r="C7" s="473" t="s">
        <v>1508</v>
      </c>
      <c r="D7" s="474" t="s">
        <v>1509</v>
      </c>
      <c r="E7" s="474" t="s">
        <v>1510</v>
      </c>
      <c r="F7" s="523" t="s">
        <v>1511</v>
      </c>
      <c r="G7" s="474" t="s">
        <v>1512</v>
      </c>
      <c r="H7" s="474" t="s">
        <v>1513</v>
      </c>
      <c r="I7" s="513" t="s">
        <v>1509</v>
      </c>
      <c r="J7" s="554" t="s">
        <v>1514</v>
      </c>
      <c r="K7" s="474" t="s">
        <v>1515</v>
      </c>
      <c r="L7" s="513" t="s">
        <v>1509</v>
      </c>
      <c r="M7" s="474" t="s">
        <v>1508</v>
      </c>
      <c r="N7" s="474" t="s">
        <v>1516</v>
      </c>
      <c r="O7" s="513" t="s">
        <v>1509</v>
      </c>
      <c r="P7" s="474" t="s">
        <v>10</v>
      </c>
      <c r="Q7" s="459" t="s">
        <v>1517</v>
      </c>
      <c r="R7" s="513" t="s">
        <v>1509</v>
      </c>
      <c r="S7" s="598" t="s">
        <v>2346</v>
      </c>
      <c r="T7" s="474" t="s">
        <v>1519</v>
      </c>
      <c r="U7" s="474" t="s">
        <v>1526</v>
      </c>
      <c r="V7" s="474" t="s">
        <v>2347</v>
      </c>
      <c r="W7" s="474" t="s">
        <v>1516</v>
      </c>
    </row>
    <row r="8" spans="1:23">
      <c r="A8" s="378"/>
      <c r="B8" s="516">
        <v>2019</v>
      </c>
      <c r="C8" s="471" t="s">
        <v>1520</v>
      </c>
      <c r="D8" s="472">
        <v>2020</v>
      </c>
      <c r="E8" s="472">
        <v>2020</v>
      </c>
      <c r="F8" s="524">
        <v>2020</v>
      </c>
      <c r="G8" s="472" t="s">
        <v>1521</v>
      </c>
      <c r="H8" s="472" t="s">
        <v>1522</v>
      </c>
      <c r="I8" s="477">
        <v>2021</v>
      </c>
      <c r="J8" s="555">
        <v>2021</v>
      </c>
      <c r="K8" s="471" t="s">
        <v>1521</v>
      </c>
      <c r="L8" s="477">
        <v>2022</v>
      </c>
      <c r="M8" s="566">
        <v>44926</v>
      </c>
      <c r="N8" s="471">
        <v>2022</v>
      </c>
      <c r="O8" s="477">
        <v>2022</v>
      </c>
      <c r="P8" s="471">
        <v>2022</v>
      </c>
      <c r="Q8" s="464" t="s">
        <v>1521</v>
      </c>
      <c r="R8" s="477">
        <v>2023</v>
      </c>
      <c r="S8" s="599" t="s">
        <v>1523</v>
      </c>
      <c r="T8" s="566">
        <v>45016</v>
      </c>
      <c r="U8" s="471"/>
      <c r="V8" s="566"/>
    </row>
    <row r="9" spans="1:23">
      <c r="A9" s="365" t="s">
        <v>781</v>
      </c>
      <c r="B9" s="517">
        <v>7771971</v>
      </c>
      <c r="C9" s="433">
        <v>5927876.5300000003</v>
      </c>
      <c r="D9" s="433">
        <v>8200000</v>
      </c>
      <c r="E9" s="433">
        <f>'Budget m. LL22'!Q7</f>
        <v>7900000</v>
      </c>
      <c r="F9" s="525">
        <v>7937516</v>
      </c>
      <c r="G9" s="433">
        <f>F9-D9</f>
        <v>-262484</v>
      </c>
      <c r="H9" s="433">
        <f>F9-E9</f>
        <v>37516</v>
      </c>
      <c r="I9" s="478">
        <v>8100000</v>
      </c>
      <c r="J9" s="431">
        <f>-råbalance!F9</f>
        <v>8117807.9800000004</v>
      </c>
      <c r="K9" s="433">
        <f>J9-I9</f>
        <v>17807.980000000447</v>
      </c>
      <c r="L9" s="478">
        <v>8200000</v>
      </c>
      <c r="M9" s="433">
        <f>-råbalance2022!C7</f>
        <v>7989318.2300000004</v>
      </c>
      <c r="N9" s="433">
        <f>M9-L9</f>
        <v>-210681.76999999955</v>
      </c>
      <c r="O9" s="478">
        <v>8200000</v>
      </c>
      <c r="P9" s="433">
        <f>O9</f>
        <v>8200000</v>
      </c>
      <c r="Q9" s="433">
        <f>P9-O9</f>
        <v>0</v>
      </c>
      <c r="R9" s="478">
        <v>8442000</v>
      </c>
      <c r="S9" s="600">
        <f>R9/4</f>
        <v>2110500</v>
      </c>
      <c r="T9" s="433">
        <f>-'råbalanceQ1 2023'!C7</f>
        <v>1967628.88</v>
      </c>
      <c r="U9" s="433">
        <f>T9-S9</f>
        <v>-142871.12000000011</v>
      </c>
      <c r="V9" s="433">
        <v>7831000</v>
      </c>
      <c r="W9" s="614">
        <f>V9-R9</f>
        <v>-611000</v>
      </c>
    </row>
    <row r="10" spans="1:23">
      <c r="A10" s="359" t="s">
        <v>20</v>
      </c>
      <c r="B10" s="518">
        <f>SUM(B9)</f>
        <v>7771971</v>
      </c>
      <c r="C10" s="390">
        <f>SUM(C9)</f>
        <v>5927876.5300000003</v>
      </c>
      <c r="D10" s="390">
        <f>SUM(D9)</f>
        <v>8200000</v>
      </c>
      <c r="E10" s="390">
        <f>'Budget m. LL22'!Q8</f>
        <v>7900000</v>
      </c>
      <c r="F10" s="526">
        <f>F9</f>
        <v>7937516</v>
      </c>
      <c r="G10" s="390">
        <f t="shared" ref="G10:G30" si="0">F10-D10</f>
        <v>-262484</v>
      </c>
      <c r="H10" s="433">
        <f t="shared" ref="H10:H30" si="1">F10-E10</f>
        <v>37516</v>
      </c>
      <c r="I10" s="480">
        <f>I9</f>
        <v>8100000</v>
      </c>
      <c r="J10" s="421">
        <f>J9</f>
        <v>8117807.9800000004</v>
      </c>
      <c r="K10" s="433">
        <f t="shared" ref="K10:K30" si="2">J10-I10</f>
        <v>17807.980000000447</v>
      </c>
      <c r="L10" s="480">
        <v>8200000</v>
      </c>
      <c r="M10" s="390">
        <f>+M9</f>
        <v>7989318.2300000004</v>
      </c>
      <c r="N10" s="433">
        <f t="shared" ref="N10:N30" si="3">M10-L10</f>
        <v>-210681.76999999955</v>
      </c>
      <c r="O10" s="480">
        <v>8200000</v>
      </c>
      <c r="P10" s="390">
        <f t="shared" ref="P10" si="4">P9</f>
        <v>8200000</v>
      </c>
      <c r="Q10" s="433">
        <f t="shared" ref="Q10:Q30" si="5">P10-O10</f>
        <v>0</v>
      </c>
      <c r="R10" s="480">
        <f>+R9</f>
        <v>8442000</v>
      </c>
      <c r="S10" s="601">
        <f>SUM(S9)</f>
        <v>2110500</v>
      </c>
      <c r="T10" s="390">
        <f>+T9</f>
        <v>1967628.88</v>
      </c>
      <c r="U10" s="433">
        <f t="shared" ref="U10:U30" si="6">T10-S10</f>
        <v>-142871.12000000011</v>
      </c>
      <c r="V10" s="390">
        <f>SUM(V9)</f>
        <v>7831000</v>
      </c>
      <c r="W10" s="578">
        <f>V10-R10</f>
        <v>-611000</v>
      </c>
    </row>
    <row r="11" spans="1:23" ht="6.75" customHeight="1">
      <c r="A11" s="365"/>
      <c r="B11" s="517"/>
      <c r="C11" s="433"/>
      <c r="D11" s="433"/>
      <c r="E11" s="433"/>
      <c r="F11" s="527"/>
      <c r="G11" s="433"/>
      <c r="H11" s="433"/>
      <c r="I11" s="478"/>
      <c r="J11" s="431"/>
      <c r="K11" s="433">
        <f t="shared" si="2"/>
        <v>0</v>
      </c>
      <c r="L11" s="478"/>
      <c r="M11" s="433"/>
      <c r="N11" s="433"/>
      <c r="O11" s="478"/>
      <c r="P11" s="433"/>
      <c r="Q11" s="433"/>
      <c r="R11" s="478"/>
      <c r="S11" s="600"/>
      <c r="T11" s="433"/>
      <c r="U11" s="433"/>
      <c r="V11" s="433"/>
      <c r="W11" s="433"/>
    </row>
    <row r="12" spans="1:23">
      <c r="A12" s="389" t="s">
        <v>21</v>
      </c>
      <c r="B12" s="517">
        <v>7148832</v>
      </c>
      <c r="C12" s="433">
        <v>0</v>
      </c>
      <c r="D12" s="433">
        <v>7400000</v>
      </c>
      <c r="E12" s="433">
        <f>'Budget m. LL22'!Q10</f>
        <v>7148832</v>
      </c>
      <c r="F12" s="527">
        <v>7118470</v>
      </c>
      <c r="G12" s="433">
        <f t="shared" si="0"/>
        <v>-281530</v>
      </c>
      <c r="H12" s="433">
        <f t="shared" si="1"/>
        <v>-30362</v>
      </c>
      <c r="I12" s="478">
        <f>'Budget m. LL22'!T10</f>
        <v>7250000</v>
      </c>
      <c r="J12" s="431">
        <f>-råbalance!F11</f>
        <v>7804703</v>
      </c>
      <c r="K12" s="433">
        <f t="shared" si="2"/>
        <v>554703</v>
      </c>
      <c r="L12" s="478">
        <v>7250000</v>
      </c>
      <c r="M12" s="433">
        <f>-råbalance2022!C9</f>
        <v>7726156</v>
      </c>
      <c r="N12" s="433">
        <f t="shared" si="3"/>
        <v>476156</v>
      </c>
      <c r="O12" s="478">
        <v>7250000</v>
      </c>
      <c r="P12" s="433">
        <v>7726156</v>
      </c>
      <c r="Q12" s="433">
        <f>P12-O12</f>
        <v>476156</v>
      </c>
      <c r="R12" s="478">
        <v>7823000</v>
      </c>
      <c r="S12" s="600">
        <v>0</v>
      </c>
      <c r="T12" s="433">
        <f>-'råbalanceQ1 2023'!C9</f>
        <v>0</v>
      </c>
      <c r="U12" s="433">
        <f t="shared" si="6"/>
        <v>0</v>
      </c>
      <c r="V12" s="433">
        <v>7000000</v>
      </c>
      <c r="W12" s="433">
        <f>V12-R12</f>
        <v>-823000</v>
      </c>
    </row>
    <row r="13" spans="1:23">
      <c r="A13" s="365" t="s">
        <v>23</v>
      </c>
      <c r="B13" s="517">
        <v>244095</v>
      </c>
      <c r="C13" s="433">
        <v>248875.21</v>
      </c>
      <c r="D13" s="433">
        <v>250000</v>
      </c>
      <c r="E13" s="433">
        <f>'Budget m. LL22'!Q11</f>
        <v>250000</v>
      </c>
      <c r="F13" s="527">
        <v>248875</v>
      </c>
      <c r="G13" s="433">
        <f t="shared" si="0"/>
        <v>-1125</v>
      </c>
      <c r="H13" s="433">
        <f t="shared" si="1"/>
        <v>-1125</v>
      </c>
      <c r="I13" s="478">
        <f>'Budget m. LL22'!T11</f>
        <v>250000</v>
      </c>
      <c r="J13" s="431">
        <f>-råbalance!F12</f>
        <v>202990.94</v>
      </c>
      <c r="K13" s="433">
        <f t="shared" si="2"/>
        <v>-47009.06</v>
      </c>
      <c r="L13" s="478">
        <v>250000</v>
      </c>
      <c r="M13" s="433">
        <f>-råbalance2022!C10</f>
        <v>262083.9</v>
      </c>
      <c r="N13" s="433">
        <f t="shared" si="3"/>
        <v>12083.899999999994</v>
      </c>
      <c r="O13" s="478">
        <v>250000</v>
      </c>
      <c r="P13" s="433">
        <f t="shared" ref="P13:P17" si="7">O13</f>
        <v>250000</v>
      </c>
      <c r="Q13" s="433">
        <f t="shared" si="5"/>
        <v>0</v>
      </c>
      <c r="R13" s="478">
        <v>200000</v>
      </c>
      <c r="S13" s="600">
        <v>0</v>
      </c>
      <c r="T13" s="433">
        <v>0</v>
      </c>
      <c r="U13" s="433">
        <f>T13-S13</f>
        <v>0</v>
      </c>
      <c r="V13" s="433">
        <v>200000</v>
      </c>
      <c r="W13" s="433">
        <f t="shared" ref="W13:W18" si="8">V13-R13</f>
        <v>0</v>
      </c>
    </row>
    <row r="14" spans="1:23">
      <c r="A14" s="365" t="s">
        <v>24</v>
      </c>
      <c r="B14" s="517">
        <v>19674</v>
      </c>
      <c r="C14" s="433">
        <v>15016.470000000001</v>
      </c>
      <c r="D14" s="433">
        <v>0</v>
      </c>
      <c r="E14" s="433">
        <f>'Budget m. LL22'!Q12</f>
        <v>10000</v>
      </c>
      <c r="F14" s="527">
        <v>17837</v>
      </c>
      <c r="G14" s="433">
        <f t="shared" si="0"/>
        <v>17837</v>
      </c>
      <c r="H14" s="433">
        <f t="shared" si="1"/>
        <v>7837</v>
      </c>
      <c r="I14" s="478">
        <f>'Budget m. LL22'!T12</f>
        <v>0</v>
      </c>
      <c r="J14" s="431">
        <f>-råbalance!F13-råbalance!F14-råbalance!F15</f>
        <v>9479.9699999999721</v>
      </c>
      <c r="K14" s="433">
        <f t="shared" si="2"/>
        <v>9479.9699999999721</v>
      </c>
      <c r="L14" s="478">
        <v>0</v>
      </c>
      <c r="M14" s="433">
        <f>-råbalance2022!C11-råbalance2022!C12</f>
        <v>25441.299999999988</v>
      </c>
      <c r="N14" s="433">
        <f t="shared" si="3"/>
        <v>25441.299999999988</v>
      </c>
      <c r="O14" s="478">
        <v>0</v>
      </c>
      <c r="P14" s="433">
        <f t="shared" si="7"/>
        <v>0</v>
      </c>
      <c r="Q14" s="433">
        <f t="shared" si="5"/>
        <v>0</v>
      </c>
      <c r="R14" s="478">
        <v>0</v>
      </c>
      <c r="S14" s="600">
        <v>0</v>
      </c>
      <c r="T14" s="433">
        <v>1650</v>
      </c>
      <c r="U14" s="433">
        <f>T14-S14</f>
        <v>1650</v>
      </c>
      <c r="V14" s="433">
        <v>1650</v>
      </c>
      <c r="W14" s="433">
        <f t="shared" si="8"/>
        <v>1650</v>
      </c>
    </row>
    <row r="15" spans="1:23">
      <c r="A15" s="365" t="s">
        <v>25</v>
      </c>
      <c r="B15" s="517">
        <v>397575</v>
      </c>
      <c r="C15" s="433">
        <v>491675</v>
      </c>
      <c r="D15" s="433">
        <v>500000</v>
      </c>
      <c r="E15" s="433">
        <f>'Budget m. LL22'!Q13</f>
        <v>491675</v>
      </c>
      <c r="F15" s="527">
        <f>E15</f>
        <v>491675</v>
      </c>
      <c r="G15" s="433">
        <f t="shared" si="0"/>
        <v>-8325</v>
      </c>
      <c r="H15" s="433">
        <f t="shared" si="1"/>
        <v>0</v>
      </c>
      <c r="I15" s="478">
        <v>400000</v>
      </c>
      <c r="J15" s="431">
        <f>-råbalance!F16</f>
        <v>390559</v>
      </c>
      <c r="K15" s="433">
        <f t="shared" si="2"/>
        <v>-9441</v>
      </c>
      <c r="L15" s="478">
        <v>400000</v>
      </c>
      <c r="M15" s="433">
        <f>-råbalance2022!C14</f>
        <v>373135</v>
      </c>
      <c r="N15" s="433">
        <f t="shared" si="3"/>
        <v>-26865</v>
      </c>
      <c r="O15" s="478">
        <v>400000</v>
      </c>
      <c r="P15" s="433">
        <f t="shared" si="7"/>
        <v>400000</v>
      </c>
      <c r="Q15" s="433">
        <f t="shared" si="5"/>
        <v>0</v>
      </c>
      <c r="R15" s="478">
        <v>1400000</v>
      </c>
      <c r="S15" s="600">
        <v>0</v>
      </c>
      <c r="T15" s="433">
        <f>-'råbalanceQ1 2023'!C14</f>
        <v>0</v>
      </c>
      <c r="U15" s="433">
        <f t="shared" si="6"/>
        <v>0</v>
      </c>
      <c r="V15" s="433">
        <v>1400000</v>
      </c>
      <c r="W15" s="433">
        <f t="shared" si="8"/>
        <v>0</v>
      </c>
    </row>
    <row r="16" spans="1:23">
      <c r="A16" s="365" t="s">
        <v>28</v>
      </c>
      <c r="B16" s="517">
        <v>0</v>
      </c>
      <c r="C16" s="433">
        <f>GETPIVOTDATA("Beløb",Coronaøkonomi!$A$26,"Projekter Kode","")</f>
        <v>639069.01</v>
      </c>
      <c r="D16" s="433">
        <v>0</v>
      </c>
      <c r="E16" s="433">
        <f>'Budget m. LL22'!Q14</f>
        <v>625000</v>
      </c>
      <c r="F16" s="527">
        <v>642358.44999999995</v>
      </c>
      <c r="G16" s="512">
        <f t="shared" si="0"/>
        <v>642358.44999999995</v>
      </c>
      <c r="H16" s="512">
        <f t="shared" si="1"/>
        <v>17358.449999999953</v>
      </c>
      <c r="I16" s="478">
        <f>'Budget m. LL22'!T14</f>
        <v>0</v>
      </c>
      <c r="J16" s="563">
        <f>-råbalance!F18</f>
        <v>462515.34</v>
      </c>
      <c r="K16" s="433">
        <f t="shared" si="2"/>
        <v>462515.34</v>
      </c>
      <c r="L16" s="478">
        <v>0</v>
      </c>
      <c r="M16" s="433">
        <v>0</v>
      </c>
      <c r="N16" s="433">
        <f t="shared" si="3"/>
        <v>0</v>
      </c>
      <c r="O16" s="478">
        <v>0</v>
      </c>
      <c r="P16" s="433">
        <f t="shared" si="7"/>
        <v>0</v>
      </c>
      <c r="Q16" s="433">
        <f t="shared" si="5"/>
        <v>0</v>
      </c>
      <c r="R16" s="478">
        <v>0</v>
      </c>
      <c r="S16" s="600">
        <v>0</v>
      </c>
      <c r="T16" s="433">
        <v>0</v>
      </c>
      <c r="U16" s="433">
        <f t="shared" si="6"/>
        <v>0</v>
      </c>
      <c r="V16" s="433"/>
      <c r="W16" s="433">
        <f t="shared" si="8"/>
        <v>0</v>
      </c>
    </row>
    <row r="17" spans="1:23">
      <c r="A17" s="365" t="s">
        <v>1524</v>
      </c>
      <c r="B17" s="517">
        <v>0</v>
      </c>
      <c r="C17" s="433">
        <v>0</v>
      </c>
      <c r="D17" s="433">
        <v>0</v>
      </c>
      <c r="E17" s="433">
        <f>Coronaøkonomi!B41</f>
        <v>188908.23666666669</v>
      </c>
      <c r="F17" s="527">
        <v>273283</v>
      </c>
      <c r="G17" s="433">
        <f t="shared" si="0"/>
        <v>273283</v>
      </c>
      <c r="H17" s="433">
        <f t="shared" si="1"/>
        <v>84374.763333333307</v>
      </c>
      <c r="I17" s="478">
        <f>'Budget m. LL22'!T15</f>
        <v>0</v>
      </c>
      <c r="J17" s="431">
        <v>0</v>
      </c>
      <c r="K17" s="433">
        <f t="shared" si="2"/>
        <v>0</v>
      </c>
      <c r="L17" s="478">
        <v>0</v>
      </c>
      <c r="M17" s="433">
        <f>-råbalance2022!C16</f>
        <v>-67290.759999999995</v>
      </c>
      <c r="N17" s="433">
        <f t="shared" si="3"/>
        <v>-67290.759999999995</v>
      </c>
      <c r="O17" s="478">
        <v>0</v>
      </c>
      <c r="P17" s="433">
        <f t="shared" si="7"/>
        <v>0</v>
      </c>
      <c r="Q17" s="433">
        <f t="shared" si="5"/>
        <v>0</v>
      </c>
      <c r="R17" s="478">
        <v>0</v>
      </c>
      <c r="S17" s="600">
        <v>0</v>
      </c>
      <c r="T17" s="433">
        <f>-'råbalanceQ1 2023'!C15</f>
        <v>10451.700000000001</v>
      </c>
      <c r="U17" s="433">
        <f>T17-S17</f>
        <v>10451.700000000001</v>
      </c>
      <c r="V17" s="433">
        <v>10452</v>
      </c>
      <c r="W17" s="433">
        <f t="shared" si="8"/>
        <v>10452</v>
      </c>
    </row>
    <row r="18" spans="1:23">
      <c r="A18" s="359" t="s">
        <v>32</v>
      </c>
      <c r="B18" s="518">
        <f>SUM(B12:B17)</f>
        <v>7810176</v>
      </c>
      <c r="C18" s="390">
        <f>SUM(C12:C17)</f>
        <v>1394635.69</v>
      </c>
      <c r="D18" s="390">
        <f>SUM(D12:D17)</f>
        <v>8150000</v>
      </c>
      <c r="E18" s="390">
        <f>SUM(E12:E17)</f>
        <v>8714415.2366666663</v>
      </c>
      <c r="F18" s="526">
        <f>SUM(F12:F17)</f>
        <v>8792498.4499999993</v>
      </c>
      <c r="G18" s="390">
        <f t="shared" si="0"/>
        <v>642498.44999999925</v>
      </c>
      <c r="H18" s="433">
        <f t="shared" si="1"/>
        <v>78083.213333332911</v>
      </c>
      <c r="I18" s="480">
        <f>SUM(I12:I17)</f>
        <v>7900000</v>
      </c>
      <c r="J18" s="421">
        <f>SUM(J12:J17)</f>
        <v>8870248.25</v>
      </c>
      <c r="K18" s="421">
        <f t="shared" ref="K18" si="9">SUM(K12:K17)</f>
        <v>970248.25</v>
      </c>
      <c r="L18" s="480">
        <v>7900000</v>
      </c>
      <c r="M18" s="390">
        <f>SUM(M12:M17)</f>
        <v>8319525.4400000004</v>
      </c>
      <c r="N18" s="433">
        <f t="shared" si="3"/>
        <v>419525.44000000041</v>
      </c>
      <c r="O18" s="480">
        <v>7900000</v>
      </c>
      <c r="P18" s="390">
        <f t="shared" ref="P18" si="10">SUM(P12:P17)</f>
        <v>8376156</v>
      </c>
      <c r="Q18" s="433">
        <f t="shared" si="5"/>
        <v>476156</v>
      </c>
      <c r="R18" s="480">
        <f>SUM(R12:R17)</f>
        <v>9423000</v>
      </c>
      <c r="S18" s="601">
        <f>SUM(S12:S17)</f>
        <v>0</v>
      </c>
      <c r="T18" s="390">
        <f>SUM(T12:T17)</f>
        <v>12101.7</v>
      </c>
      <c r="U18" s="433">
        <f t="shared" si="6"/>
        <v>12101.7</v>
      </c>
      <c r="V18" s="390">
        <f>SUM(V12:V17)</f>
        <v>8612102</v>
      </c>
      <c r="W18" s="578">
        <f t="shared" si="8"/>
        <v>-810898</v>
      </c>
    </row>
    <row r="19" spans="1:23" ht="6.75" customHeight="1">
      <c r="A19" s="359"/>
      <c r="B19" s="518"/>
      <c r="C19" s="390"/>
      <c r="D19" s="390"/>
      <c r="E19" s="390"/>
      <c r="F19" s="526"/>
      <c r="G19" s="433"/>
      <c r="H19" s="433"/>
      <c r="I19" s="480"/>
      <c r="J19" s="421"/>
      <c r="K19" s="433"/>
      <c r="L19" s="480"/>
      <c r="M19" s="433"/>
      <c r="N19" s="433"/>
      <c r="O19" s="480"/>
      <c r="P19" s="433"/>
      <c r="Q19" s="433"/>
      <c r="R19" s="480"/>
      <c r="S19" s="601"/>
      <c r="T19" s="433"/>
      <c r="U19" s="433"/>
      <c r="V19" s="433"/>
      <c r="W19" s="433"/>
    </row>
    <row r="20" spans="1:23" ht="34">
      <c r="A20" s="470" t="s">
        <v>2349</v>
      </c>
      <c r="B20" s="517">
        <v>130996</v>
      </c>
      <c r="C20" s="433">
        <v>0</v>
      </c>
      <c r="D20" s="433">
        <v>500000</v>
      </c>
      <c r="E20" s="433">
        <f>'Budget m. LL22'!Q18</f>
        <v>-250000</v>
      </c>
      <c r="F20" s="527">
        <v>-1274095</v>
      </c>
      <c r="G20" s="433">
        <f>F20-D20</f>
        <v>-1774095</v>
      </c>
      <c r="H20" s="433">
        <f t="shared" si="1"/>
        <v>-1024095</v>
      </c>
      <c r="I20" s="478">
        <f>'Budget m. LL22'!T18</f>
        <v>150000</v>
      </c>
      <c r="J20" s="431">
        <v>-574582</v>
      </c>
      <c r="K20" s="433">
        <f t="shared" si="2"/>
        <v>-724582</v>
      </c>
      <c r="L20" s="478">
        <v>700000</v>
      </c>
      <c r="M20" s="433">
        <v>-3492000</v>
      </c>
      <c r="N20" s="433">
        <f t="shared" si="3"/>
        <v>-4192000</v>
      </c>
      <c r="O20" s="478">
        <v>1223650</v>
      </c>
      <c r="P20" s="512">
        <v>0</v>
      </c>
      <c r="Q20" s="433">
        <f t="shared" si="5"/>
        <v>-1223650</v>
      </c>
      <c r="R20" s="587">
        <v>250000</v>
      </c>
      <c r="S20" s="602">
        <v>0</v>
      </c>
      <c r="T20" s="433">
        <v>0</v>
      </c>
      <c r="U20" s="433">
        <f t="shared" si="6"/>
        <v>0</v>
      </c>
      <c r="V20" s="433">
        <v>250000</v>
      </c>
      <c r="W20" s="433">
        <f>V20-R20</f>
        <v>0</v>
      </c>
    </row>
    <row r="21" spans="1:23">
      <c r="A21" s="365" t="s">
        <v>35</v>
      </c>
      <c r="B21" s="517">
        <v>148328</v>
      </c>
      <c r="C21" s="433">
        <v>-9716.27</v>
      </c>
      <c r="D21" s="433">
        <v>0</v>
      </c>
      <c r="E21" s="433">
        <f>'Budget m. LL22'!Q19</f>
        <v>-30000</v>
      </c>
      <c r="F21" s="527">
        <v>-69575</v>
      </c>
      <c r="G21" s="433">
        <f t="shared" si="0"/>
        <v>-69575</v>
      </c>
      <c r="H21" s="433">
        <f t="shared" si="1"/>
        <v>-39575</v>
      </c>
      <c r="I21" s="478">
        <v>0</v>
      </c>
      <c r="J21" s="563">
        <f>-råbalance!F36</f>
        <v>117879.64</v>
      </c>
      <c r="K21" s="433">
        <f t="shared" si="2"/>
        <v>117879.64</v>
      </c>
      <c r="L21" s="478">
        <v>0</v>
      </c>
      <c r="M21" s="433">
        <f>-råbalance2022!C34</f>
        <v>319131.02</v>
      </c>
      <c r="N21" s="433">
        <f t="shared" si="3"/>
        <v>319131.02</v>
      </c>
      <c r="O21" s="478">
        <v>0</v>
      </c>
      <c r="P21" s="433">
        <v>0</v>
      </c>
      <c r="Q21" s="433">
        <f t="shared" si="5"/>
        <v>0</v>
      </c>
      <c r="R21" s="478">
        <v>50000</v>
      </c>
      <c r="S21" s="600">
        <f>R21/4</f>
        <v>12500</v>
      </c>
      <c r="T21" s="433">
        <f>-'råbalanceQ1 2023'!C34</f>
        <v>104652.55</v>
      </c>
      <c r="U21" s="433">
        <f>T21-S21</f>
        <v>92152.55</v>
      </c>
      <c r="V21" s="433">
        <v>50000</v>
      </c>
      <c r="W21" s="433">
        <f>V21-R21</f>
        <v>0</v>
      </c>
    </row>
    <row r="22" spans="1:23">
      <c r="A22" s="365" t="s">
        <v>37</v>
      </c>
      <c r="B22" s="517">
        <v>100138</v>
      </c>
      <c r="C22" s="433">
        <v>-171583.75</v>
      </c>
      <c r="D22" s="433">
        <v>100000</v>
      </c>
      <c r="E22" s="433">
        <f>'Budget m. LL22'!Q20</f>
        <v>100000</v>
      </c>
      <c r="F22" s="527">
        <v>99554</v>
      </c>
      <c r="G22" s="433">
        <f t="shared" si="0"/>
        <v>-446</v>
      </c>
      <c r="H22" s="433">
        <f t="shared" si="1"/>
        <v>-446</v>
      </c>
      <c r="I22" s="478">
        <f>'Budget m. LL22'!T20</f>
        <v>100000</v>
      </c>
      <c r="J22" s="563">
        <f>-råbalance!F45</f>
        <v>96443.98</v>
      </c>
      <c r="K22" s="433">
        <f t="shared" si="2"/>
        <v>-3556.0200000000041</v>
      </c>
      <c r="L22" s="478">
        <v>100000</v>
      </c>
      <c r="M22" s="433">
        <f>-råbalance2022!C43</f>
        <v>93707</v>
      </c>
      <c r="N22" s="433">
        <f t="shared" si="3"/>
        <v>-6293</v>
      </c>
      <c r="O22" s="478">
        <v>100000</v>
      </c>
      <c r="P22" s="433">
        <v>100000</v>
      </c>
      <c r="Q22" s="433">
        <f t="shared" si="5"/>
        <v>0</v>
      </c>
      <c r="R22" s="478">
        <v>100000</v>
      </c>
      <c r="S22" s="600">
        <v>0</v>
      </c>
      <c r="T22" s="433">
        <f>-'råbalanceQ1 2023'!C43</f>
        <v>0</v>
      </c>
      <c r="U22" s="433">
        <f t="shared" si="6"/>
        <v>0</v>
      </c>
      <c r="V22" s="433">
        <v>100000</v>
      </c>
      <c r="W22" s="433">
        <f t="shared" ref="W22:W26" si="11">V22-R22</f>
        <v>0</v>
      </c>
    </row>
    <row r="23" spans="1:23">
      <c r="A23" s="365" t="s">
        <v>39</v>
      </c>
      <c r="B23" s="517">
        <v>1938595</v>
      </c>
      <c r="C23" s="433">
        <v>385121.02</v>
      </c>
      <c r="D23" s="433">
        <v>0</v>
      </c>
      <c r="E23" s="433">
        <f>'Budget m. LL22'!Q21</f>
        <v>400000</v>
      </c>
      <c r="F23" s="527">
        <v>447588</v>
      </c>
      <c r="G23" s="433">
        <f t="shared" si="0"/>
        <v>447588</v>
      </c>
      <c r="H23" s="433">
        <f t="shared" si="1"/>
        <v>47588</v>
      </c>
      <c r="I23" s="478">
        <v>0</v>
      </c>
      <c r="J23" s="563">
        <v>956370</v>
      </c>
      <c r="K23" s="433">
        <f t="shared" si="2"/>
        <v>956370</v>
      </c>
      <c r="L23" s="478">
        <v>0</v>
      </c>
      <c r="M23" s="433">
        <f>-råbalance2022!C46</f>
        <v>368179.49</v>
      </c>
      <c r="N23" s="433">
        <f t="shared" si="3"/>
        <v>368179.49</v>
      </c>
      <c r="O23" s="478">
        <v>0</v>
      </c>
      <c r="P23" s="433">
        <v>25000</v>
      </c>
      <c r="Q23" s="433">
        <f t="shared" si="5"/>
        <v>25000</v>
      </c>
      <c r="R23" s="478">
        <v>500000</v>
      </c>
      <c r="S23" s="600">
        <v>0</v>
      </c>
      <c r="T23" s="433">
        <f>-'råbalanceQ1 2023'!C46</f>
        <v>0</v>
      </c>
      <c r="U23" s="433">
        <f t="shared" si="6"/>
        <v>0</v>
      </c>
      <c r="V23" s="433">
        <v>500000</v>
      </c>
      <c r="W23" s="433">
        <f t="shared" si="11"/>
        <v>0</v>
      </c>
    </row>
    <row r="24" spans="1:23">
      <c r="A24" s="389" t="s">
        <v>41</v>
      </c>
      <c r="B24" s="517">
        <v>0</v>
      </c>
      <c r="C24" s="433">
        <v>0</v>
      </c>
      <c r="D24" s="433">
        <v>0</v>
      </c>
      <c r="E24" s="433">
        <v>0</v>
      </c>
      <c r="F24" s="527">
        <f>E24</f>
        <v>0</v>
      </c>
      <c r="G24" s="433">
        <f t="shared" si="0"/>
        <v>0</v>
      </c>
      <c r="H24" s="433">
        <f t="shared" si="1"/>
        <v>0</v>
      </c>
      <c r="I24" s="478">
        <f>'Budget m. LL22'!T22</f>
        <v>0</v>
      </c>
      <c r="J24" s="431">
        <v>0</v>
      </c>
      <c r="K24" s="433"/>
      <c r="L24" s="478">
        <v>-800000</v>
      </c>
      <c r="M24" s="433">
        <v>-906716</v>
      </c>
      <c r="N24" s="433">
        <f>M24-L24</f>
        <v>-106716</v>
      </c>
      <c r="O24" s="478">
        <v>-800000</v>
      </c>
      <c r="P24" s="433">
        <v>-1300000</v>
      </c>
      <c r="Q24" s="433">
        <f t="shared" si="5"/>
        <v>-500000</v>
      </c>
      <c r="R24" s="478">
        <v>0</v>
      </c>
      <c r="S24" s="600">
        <v>0</v>
      </c>
      <c r="T24" s="433">
        <v>0</v>
      </c>
      <c r="U24" s="433">
        <f t="shared" si="6"/>
        <v>0</v>
      </c>
      <c r="V24" s="433">
        <v>0</v>
      </c>
      <c r="W24" s="433">
        <f t="shared" si="11"/>
        <v>0</v>
      </c>
    </row>
    <row r="25" spans="1:23" hidden="1">
      <c r="A25" s="389" t="s">
        <v>1525</v>
      </c>
      <c r="B25" s="517"/>
      <c r="C25" s="433"/>
      <c r="D25" s="433"/>
      <c r="E25" s="433"/>
      <c r="F25" s="527"/>
      <c r="G25" s="433"/>
      <c r="H25" s="433"/>
      <c r="I25" s="478"/>
      <c r="J25" s="431"/>
      <c r="K25" s="433">
        <f t="shared" si="2"/>
        <v>0</v>
      </c>
      <c r="L25" s="478">
        <f>SUM(L20:L24)</f>
        <v>0</v>
      </c>
      <c r="M25" s="433"/>
      <c r="N25" s="433">
        <f t="shared" si="3"/>
        <v>0</v>
      </c>
      <c r="O25" s="478"/>
      <c r="P25" s="433"/>
      <c r="Q25" s="433">
        <f t="shared" si="5"/>
        <v>0</v>
      </c>
      <c r="R25" s="478"/>
      <c r="S25" s="600"/>
      <c r="T25" s="433"/>
      <c r="U25" s="433">
        <f t="shared" si="6"/>
        <v>0</v>
      </c>
      <c r="V25" s="433"/>
      <c r="W25" s="433">
        <f t="shared" si="11"/>
        <v>0</v>
      </c>
    </row>
    <row r="26" spans="1:23">
      <c r="A26" s="359" t="s">
        <v>42</v>
      </c>
      <c r="B26" s="518">
        <f>SUM(B20:B24)</f>
        <v>2318057</v>
      </c>
      <c r="C26" s="390">
        <f>SUM(C20:C24)</f>
        <v>203821.00000000003</v>
      </c>
      <c r="D26" s="390">
        <f>SUM(D20:D24)</f>
        <v>600000</v>
      </c>
      <c r="E26" s="390">
        <f>SUM(E20:E24)</f>
        <v>220000</v>
      </c>
      <c r="F26" s="526">
        <f>SUM(F20:F24)</f>
        <v>-796528</v>
      </c>
      <c r="G26" s="390">
        <f t="shared" si="0"/>
        <v>-1396528</v>
      </c>
      <c r="H26" s="433">
        <f t="shared" si="1"/>
        <v>-1016528</v>
      </c>
      <c r="I26" s="480">
        <f>SUM(I20:I24)</f>
        <v>250000</v>
      </c>
      <c r="J26" s="421">
        <f>SUM(J20:J24)</f>
        <v>596111.62</v>
      </c>
      <c r="K26" s="433">
        <f t="shared" si="2"/>
        <v>346111.62</v>
      </c>
      <c r="L26" s="480">
        <f>SUM(L20:L24)</f>
        <v>0</v>
      </c>
      <c r="M26" s="390">
        <f>SUM(M20:M24)</f>
        <v>-3617698.49</v>
      </c>
      <c r="N26" s="433">
        <f t="shared" si="3"/>
        <v>-3617698.49</v>
      </c>
      <c r="O26" s="480">
        <v>523650</v>
      </c>
      <c r="P26" s="390">
        <f t="shared" ref="P26" si="12">SUM(P20:P24)</f>
        <v>-1175000</v>
      </c>
      <c r="Q26" s="390">
        <f t="shared" si="5"/>
        <v>-1698650</v>
      </c>
      <c r="R26" s="480">
        <f>SUM(R20:R24)</f>
        <v>900000</v>
      </c>
      <c r="S26" s="601">
        <f>SUM(S20:S24)</f>
        <v>12500</v>
      </c>
      <c r="T26" s="390">
        <f>SUM(T20:T24)</f>
        <v>104652.55</v>
      </c>
      <c r="U26" s="433">
        <f t="shared" si="6"/>
        <v>92152.55</v>
      </c>
      <c r="V26" s="390">
        <f>SUM(V20:V25)</f>
        <v>900000</v>
      </c>
      <c r="W26" s="578">
        <f t="shared" si="11"/>
        <v>0</v>
      </c>
    </row>
    <row r="27" spans="1:23">
      <c r="A27" s="365"/>
      <c r="B27" s="517"/>
      <c r="C27" s="433"/>
      <c r="D27" s="433"/>
      <c r="E27" s="390"/>
      <c r="F27" s="526"/>
      <c r="G27" s="433"/>
      <c r="H27" s="433">
        <f t="shared" si="1"/>
        <v>0</v>
      </c>
      <c r="I27" s="480"/>
      <c r="J27" s="421"/>
      <c r="K27" s="433"/>
      <c r="L27" s="480"/>
      <c r="M27" s="433"/>
      <c r="N27" s="433">
        <f t="shared" si="3"/>
        <v>0</v>
      </c>
      <c r="O27" s="480"/>
      <c r="P27" s="433"/>
      <c r="Q27" s="433">
        <f t="shared" si="5"/>
        <v>0</v>
      </c>
      <c r="R27" s="480"/>
      <c r="S27" s="601"/>
      <c r="T27" s="433"/>
      <c r="U27" s="433">
        <f t="shared" si="6"/>
        <v>0</v>
      </c>
      <c r="V27" s="433"/>
      <c r="W27" s="433"/>
    </row>
    <row r="28" spans="1:23">
      <c r="A28" s="359" t="s">
        <v>43</v>
      </c>
      <c r="B28" s="518">
        <v>72288</v>
      </c>
      <c r="C28" s="390">
        <v>56966.92</v>
      </c>
      <c r="D28" s="390">
        <v>50000</v>
      </c>
      <c r="E28" s="390">
        <f>'Budget m. LL22'!Q25</f>
        <v>55000</v>
      </c>
      <c r="F28" s="526">
        <v>71994</v>
      </c>
      <c r="G28" s="390">
        <f t="shared" si="0"/>
        <v>21994</v>
      </c>
      <c r="H28" s="433">
        <f t="shared" si="1"/>
        <v>16994</v>
      </c>
      <c r="I28" s="480">
        <v>50000</v>
      </c>
      <c r="J28" s="564">
        <v>40695</v>
      </c>
      <c r="K28" s="433">
        <f t="shared" si="2"/>
        <v>-9305</v>
      </c>
      <c r="L28" s="480">
        <v>50000</v>
      </c>
      <c r="M28" s="433">
        <v>45782</v>
      </c>
      <c r="N28" s="433">
        <f t="shared" si="3"/>
        <v>-4218</v>
      </c>
      <c r="O28" s="480">
        <v>50000</v>
      </c>
      <c r="P28" s="433">
        <v>50000</v>
      </c>
      <c r="Q28" s="433">
        <f t="shared" si="5"/>
        <v>0</v>
      </c>
      <c r="R28" s="480">
        <v>50000</v>
      </c>
      <c r="S28" s="601">
        <f>R28/4</f>
        <v>12500</v>
      </c>
      <c r="T28" s="390">
        <f>-'råbalanceQ1 2023'!C59</f>
        <v>-11110.07</v>
      </c>
      <c r="U28" s="433">
        <f>T28-S28</f>
        <v>-23610.07</v>
      </c>
      <c r="V28" s="390">
        <v>50000</v>
      </c>
      <c r="W28" s="578">
        <f>V28-R28</f>
        <v>0</v>
      </c>
    </row>
    <row r="29" spans="1:23">
      <c r="A29" s="365"/>
      <c r="B29" s="517"/>
      <c r="C29" s="433"/>
      <c r="D29" s="433"/>
      <c r="E29" s="390"/>
      <c r="F29" s="526"/>
      <c r="G29" s="433"/>
      <c r="H29" s="433">
        <f t="shared" si="1"/>
        <v>0</v>
      </c>
      <c r="I29" s="480"/>
      <c r="J29" s="421"/>
      <c r="K29" s="433"/>
      <c r="L29" s="480"/>
      <c r="M29" s="433"/>
      <c r="N29" s="433">
        <f t="shared" si="3"/>
        <v>0</v>
      </c>
      <c r="O29" s="480"/>
      <c r="P29" s="433"/>
      <c r="Q29" s="433">
        <f t="shared" si="5"/>
        <v>0</v>
      </c>
      <c r="R29" s="480"/>
      <c r="S29" s="601"/>
      <c r="T29" s="433"/>
      <c r="U29" s="433">
        <f t="shared" si="6"/>
        <v>0</v>
      </c>
      <c r="V29" s="433"/>
      <c r="W29" s="433"/>
    </row>
    <row r="30" spans="1:23">
      <c r="A30" s="359" t="s">
        <v>44</v>
      </c>
      <c r="B30" s="518">
        <f>B28+B26+B18+B10</f>
        <v>17972492</v>
      </c>
      <c r="C30" s="390">
        <f>C28+C26+C18+C10</f>
        <v>7583300.1400000006</v>
      </c>
      <c r="D30" s="390">
        <f>D28+D26+D18+D10</f>
        <v>17000000</v>
      </c>
      <c r="E30" s="390">
        <f>E28+E26+E18+E10</f>
        <v>16889415.236666664</v>
      </c>
      <c r="F30" s="526">
        <f>F28+F26+F18+F10</f>
        <v>16005480.449999999</v>
      </c>
      <c r="G30" s="390">
        <f t="shared" si="0"/>
        <v>-994519.55000000075</v>
      </c>
      <c r="H30" s="433">
        <f t="shared" si="1"/>
        <v>-883934.78666666523</v>
      </c>
      <c r="I30" s="480">
        <f>I28+I26+I18+I10</f>
        <v>16300000</v>
      </c>
      <c r="J30" s="421">
        <f>J28+J26+J18+J10</f>
        <v>17624862.850000001</v>
      </c>
      <c r="K30" s="433">
        <f t="shared" si="2"/>
        <v>1324862.8500000015</v>
      </c>
      <c r="L30" s="480">
        <f>L10+L18+L26+L28</f>
        <v>16150000</v>
      </c>
      <c r="M30" s="390">
        <f>M28+M26+M18+M10+M27</f>
        <v>12736927.18</v>
      </c>
      <c r="N30" s="433">
        <f t="shared" si="3"/>
        <v>-3413072.8200000003</v>
      </c>
      <c r="O30" s="480">
        <v>16673650</v>
      </c>
      <c r="P30" s="390">
        <f t="shared" ref="P30" si="13">P28+P26+P18+P10</f>
        <v>15451156</v>
      </c>
      <c r="Q30" s="390">
        <f t="shared" si="5"/>
        <v>-1222494</v>
      </c>
      <c r="R30" s="480">
        <f>+R28+R26+R18+R10</f>
        <v>18815000</v>
      </c>
      <c r="S30" s="601">
        <f>+S28+S26+S18+S10</f>
        <v>2135500</v>
      </c>
      <c r="T30" s="390">
        <f>+T28+T26+T18+T10</f>
        <v>2073273.0599999998</v>
      </c>
      <c r="U30" s="433">
        <f t="shared" si="6"/>
        <v>-62226.940000000177</v>
      </c>
      <c r="V30" s="390">
        <f>V10+V18+V26+V28</f>
        <v>17393102</v>
      </c>
      <c r="W30" s="578">
        <f>V30-R30</f>
        <v>-1421898</v>
      </c>
    </row>
    <row r="31" spans="1:23">
      <c r="A31" s="359"/>
      <c r="B31" s="518"/>
      <c r="C31" s="390"/>
      <c r="D31" s="390"/>
      <c r="E31" s="390"/>
      <c r="F31" s="526"/>
      <c r="G31" s="390"/>
      <c r="H31" s="390"/>
      <c r="I31" s="480"/>
      <c r="J31" s="421"/>
      <c r="K31" s="390"/>
      <c r="L31" s="480"/>
      <c r="M31" s="390"/>
      <c r="N31" s="390"/>
      <c r="O31" s="480"/>
      <c r="P31" s="390"/>
      <c r="R31" s="480"/>
      <c r="S31" s="601"/>
      <c r="T31" s="390"/>
      <c r="U31" s="390"/>
      <c r="V31" s="390"/>
    </row>
    <row r="32" spans="1:23" ht="70">
      <c r="A32" s="486" t="s">
        <v>46</v>
      </c>
      <c r="B32" s="515" t="s">
        <v>1481</v>
      </c>
      <c r="C32" s="473" t="s">
        <v>1508</v>
      </c>
      <c r="D32" s="474" t="s">
        <v>1509</v>
      </c>
      <c r="E32" s="474" t="s">
        <v>1510</v>
      </c>
      <c r="F32" s="523" t="s">
        <v>1511</v>
      </c>
      <c r="G32" s="474" t="s">
        <v>1512</v>
      </c>
      <c r="H32" s="474" t="s">
        <v>1513</v>
      </c>
      <c r="I32" s="479" t="s">
        <v>1483</v>
      </c>
      <c r="J32" s="554" t="s">
        <v>1514</v>
      </c>
      <c r="K32" s="474" t="s">
        <v>1515</v>
      </c>
      <c r="L32" s="513" t="s">
        <v>1509</v>
      </c>
      <c r="M32" s="474" t="s">
        <v>1508</v>
      </c>
      <c r="N32" s="474" t="s">
        <v>1516</v>
      </c>
      <c r="O32" s="513" t="s">
        <v>1509</v>
      </c>
      <c r="P32" s="474" t="s">
        <v>10</v>
      </c>
      <c r="Q32" s="459" t="s">
        <v>1517</v>
      </c>
      <c r="R32" s="513" t="s">
        <v>1518</v>
      </c>
      <c r="S32" s="598" t="s">
        <v>2346</v>
      </c>
      <c r="T32" s="474" t="s">
        <v>1519</v>
      </c>
      <c r="U32" s="474" t="s">
        <v>1526</v>
      </c>
      <c r="V32" s="474" t="s">
        <v>2347</v>
      </c>
      <c r="W32" s="474" t="s">
        <v>1516</v>
      </c>
    </row>
    <row r="33" spans="1:23" ht="17">
      <c r="A33" s="378"/>
      <c r="B33" s="516">
        <v>2019</v>
      </c>
      <c r="C33" s="471" t="s">
        <v>1520</v>
      </c>
      <c r="D33" s="472">
        <v>2020</v>
      </c>
      <c r="E33" s="472">
        <v>2020</v>
      </c>
      <c r="F33" s="524">
        <f>E33</f>
        <v>2020</v>
      </c>
      <c r="G33" s="472" t="s">
        <v>1521</v>
      </c>
      <c r="H33" s="472" t="s">
        <v>1522</v>
      </c>
      <c r="I33" s="477">
        <v>2021</v>
      </c>
      <c r="J33" s="555">
        <v>2021</v>
      </c>
      <c r="K33" s="471" t="s">
        <v>1521</v>
      </c>
      <c r="L33" s="477">
        <v>2022</v>
      </c>
      <c r="M33" s="566">
        <v>44926</v>
      </c>
      <c r="N33" s="471">
        <v>2022</v>
      </c>
      <c r="O33" s="477">
        <v>2022</v>
      </c>
      <c r="P33" s="471">
        <v>2022</v>
      </c>
      <c r="Q33" s="464" t="s">
        <v>1521</v>
      </c>
      <c r="R33" s="477">
        <v>2023</v>
      </c>
      <c r="S33" s="598" t="s">
        <v>1523</v>
      </c>
      <c r="T33" s="566">
        <v>45016</v>
      </c>
      <c r="U33" s="471"/>
      <c r="V33" s="566"/>
    </row>
    <row r="34" spans="1:23">
      <c r="A34" s="365" t="s">
        <v>47</v>
      </c>
      <c r="B34" s="519">
        <v>9141385</v>
      </c>
      <c r="C34" s="475">
        <f>7467132.97-GETPIVOTDATA("Beløb",Coronaøkonomi!$A$26,"Projekter Kode","ADMINISTRATION")-GETPIVOTDATA("Beløb",Coronaøkonomi!$A$26,"Projekter Kode","STABEN")</f>
        <v>7858536.7199999997</v>
      </c>
      <c r="D34" s="475">
        <v>9350000</v>
      </c>
      <c r="E34" s="433">
        <f>'Budget m. LL22'!Q35</f>
        <v>9350000</v>
      </c>
      <c r="F34" s="527">
        <v>9252785.5800000001</v>
      </c>
      <c r="G34" s="433">
        <f>F34-D34</f>
        <v>-97214.419999999925</v>
      </c>
      <c r="H34" s="433">
        <f>F34-E34</f>
        <v>-97214.419999999925</v>
      </c>
      <c r="I34" s="478">
        <v>9300000</v>
      </c>
      <c r="J34" s="563">
        <f>råbalance!F79</f>
        <v>8740829.3900000006</v>
      </c>
      <c r="K34" s="433">
        <f>J34-I34</f>
        <v>-559170.6099999994</v>
      </c>
      <c r="L34" s="478">
        <v>9300000</v>
      </c>
      <c r="M34" s="433">
        <f>+råbalance2022!C77</f>
        <v>9375493.8499999996</v>
      </c>
      <c r="N34" s="433">
        <f>M34-L34</f>
        <v>75493.849999999627</v>
      </c>
      <c r="O34" s="478">
        <v>9300000</v>
      </c>
      <c r="P34" s="433">
        <v>9300000</v>
      </c>
      <c r="Q34" s="433">
        <f>P34-O34</f>
        <v>0</v>
      </c>
      <c r="R34" s="478">
        <v>9486000</v>
      </c>
      <c r="S34" s="600">
        <f>R34/4</f>
        <v>2371500</v>
      </c>
      <c r="T34" s="433">
        <f>+'råbalanceQ1 2023'!C77</f>
        <v>2536191.06</v>
      </c>
      <c r="U34" s="433">
        <f>T34-S34</f>
        <v>164691.06000000006</v>
      </c>
      <c r="V34" s="433">
        <v>9486000</v>
      </c>
      <c r="W34" s="614">
        <f>V34-R34</f>
        <v>0</v>
      </c>
    </row>
    <row r="35" spans="1:23">
      <c r="A35" s="365" t="s">
        <v>48</v>
      </c>
      <c r="B35" s="517">
        <v>617959</v>
      </c>
      <c r="C35" s="433">
        <v>303130.95</v>
      </c>
      <c r="D35" s="433">
        <v>650000</v>
      </c>
      <c r="E35" s="433">
        <f>'Budget m. LL22'!Q36</f>
        <v>500000</v>
      </c>
      <c r="F35" s="527">
        <v>391044</v>
      </c>
      <c r="G35" s="433">
        <f t="shared" ref="G35:G101" si="14">F35-D35</f>
        <v>-258956</v>
      </c>
      <c r="H35" s="433">
        <f t="shared" ref="H35:H88" si="15">F35-E35</f>
        <v>-108956</v>
      </c>
      <c r="I35" s="478">
        <v>650000</v>
      </c>
      <c r="J35" s="563">
        <f>råbalance!F87+14575</f>
        <v>397573.1</v>
      </c>
      <c r="K35" s="433">
        <f t="shared" ref="K35:K84" si="16">J35-I35</f>
        <v>-252426.90000000002</v>
      </c>
      <c r="L35" s="478">
        <v>650000</v>
      </c>
      <c r="M35" s="433">
        <f>+råbalance2022!C85</f>
        <v>605384.56000000006</v>
      </c>
      <c r="N35" s="433">
        <f t="shared" ref="N35:N86" si="17">M35-L35</f>
        <v>-44615.439999999944</v>
      </c>
      <c r="O35" s="478">
        <v>650000</v>
      </c>
      <c r="P35" s="433">
        <v>550000</v>
      </c>
      <c r="Q35" s="433">
        <f t="shared" ref="Q35:Q101" si="18">P35-O35</f>
        <v>-100000</v>
      </c>
      <c r="R35" s="478">
        <v>600000</v>
      </c>
      <c r="S35" s="600">
        <f>R35/4</f>
        <v>150000</v>
      </c>
      <c r="T35" s="433">
        <f>+'råbalanceQ1 2023'!C85</f>
        <v>101324.15</v>
      </c>
      <c r="U35" s="433">
        <f>T35-S35</f>
        <v>-48675.850000000006</v>
      </c>
      <c r="V35" s="433">
        <v>600000</v>
      </c>
      <c r="W35" s="433">
        <f t="shared" ref="W35:W86" si="19">V35-R35</f>
        <v>0</v>
      </c>
    </row>
    <row r="36" spans="1:23">
      <c r="A36" s="365" t="s">
        <v>50</v>
      </c>
      <c r="B36" s="517">
        <v>273399</v>
      </c>
      <c r="C36" s="433">
        <v>65091.76</v>
      </c>
      <c r="D36" s="433">
        <v>250000</v>
      </c>
      <c r="E36" s="433">
        <f>'Budget m. LL22'!Q37</f>
        <v>150000</v>
      </c>
      <c r="F36" s="527">
        <v>125924</v>
      </c>
      <c r="G36" s="433">
        <f t="shared" si="14"/>
        <v>-124076</v>
      </c>
      <c r="H36" s="433">
        <f t="shared" si="15"/>
        <v>-24076</v>
      </c>
      <c r="I36" s="478">
        <v>300000</v>
      </c>
      <c r="J36" s="563">
        <v>364510.38</v>
      </c>
      <c r="K36" s="433">
        <f t="shared" si="16"/>
        <v>64510.380000000005</v>
      </c>
      <c r="L36" s="478">
        <v>300000</v>
      </c>
      <c r="M36" s="433">
        <f>+råbalance2022!C89</f>
        <v>303899.73</v>
      </c>
      <c r="N36" s="433">
        <f t="shared" si="17"/>
        <v>3899.7299999999814</v>
      </c>
      <c r="O36" s="478">
        <v>300000</v>
      </c>
      <c r="P36" s="433">
        <v>300000</v>
      </c>
      <c r="Q36" s="433">
        <f t="shared" si="18"/>
        <v>0</v>
      </c>
      <c r="R36" s="478">
        <v>300000</v>
      </c>
      <c r="S36" s="600">
        <f>R36/4</f>
        <v>75000</v>
      </c>
      <c r="T36" s="433">
        <f>+'råbalanceQ1 2023'!C89</f>
        <v>65381.64</v>
      </c>
      <c r="U36" s="433">
        <f>T36-S36</f>
        <v>-9618.36</v>
      </c>
      <c r="V36" s="433">
        <v>300000</v>
      </c>
      <c r="W36" s="433">
        <f t="shared" si="19"/>
        <v>0</v>
      </c>
    </row>
    <row r="37" spans="1:23">
      <c r="A37" s="359" t="s">
        <v>52</v>
      </c>
      <c r="B37" s="518">
        <f>SUM(B34:B36)</f>
        <v>10032743</v>
      </c>
      <c r="C37" s="390">
        <f>SUM(C34:C36)</f>
        <v>8226759.4299999997</v>
      </c>
      <c r="D37" s="390">
        <f t="shared" ref="D37:F37" si="20">SUM(D34:D36)</f>
        <v>10250000</v>
      </c>
      <c r="E37" s="390">
        <f t="shared" si="20"/>
        <v>10000000</v>
      </c>
      <c r="F37" s="526">
        <f t="shared" si="20"/>
        <v>9769753.5800000001</v>
      </c>
      <c r="G37" s="390">
        <f t="shared" si="14"/>
        <v>-480246.41999999993</v>
      </c>
      <c r="H37" s="390">
        <f t="shared" si="15"/>
        <v>-230246.41999999993</v>
      </c>
      <c r="I37" s="480">
        <f>SUM(I34:I36)</f>
        <v>10250000</v>
      </c>
      <c r="J37" s="421">
        <f>SUM(J34:J36)</f>
        <v>9502912.870000001</v>
      </c>
      <c r="K37" s="433">
        <f t="shared" si="16"/>
        <v>-747087.12999999896</v>
      </c>
      <c r="L37" s="480">
        <v>10250000</v>
      </c>
      <c r="M37" s="390">
        <f>SUM(M34:M36)</f>
        <v>10284778.140000001</v>
      </c>
      <c r="N37" s="433">
        <f t="shared" si="17"/>
        <v>34778.140000000596</v>
      </c>
      <c r="O37" s="480">
        <v>10250000</v>
      </c>
      <c r="P37" s="390">
        <f t="shared" ref="P37" si="21">SUM(P34:P36)</f>
        <v>10150000</v>
      </c>
      <c r="Q37" s="433">
        <f t="shared" si="18"/>
        <v>-100000</v>
      </c>
      <c r="R37" s="480">
        <f>SUM(R34:R36)</f>
        <v>10386000</v>
      </c>
      <c r="S37" s="601">
        <f>SUM(S34:S36)</f>
        <v>2596500</v>
      </c>
      <c r="T37" s="390">
        <f>SUM(T34:T36)</f>
        <v>2702896.85</v>
      </c>
      <c r="U37" s="578">
        <f t="shared" ref="U37:U85" si="22">T37-S37</f>
        <v>106396.85000000009</v>
      </c>
      <c r="V37" s="390">
        <f>SUM(V34:V36)</f>
        <v>10386000</v>
      </c>
      <c r="W37" s="433">
        <f>V37-R37</f>
        <v>0</v>
      </c>
    </row>
    <row r="38" spans="1:23" ht="5.25" customHeight="1">
      <c r="A38" s="359"/>
      <c r="B38" s="518"/>
      <c r="C38" s="390"/>
      <c r="D38" s="390"/>
      <c r="E38" s="390"/>
      <c r="F38" s="526"/>
      <c r="G38" s="433">
        <f t="shared" si="14"/>
        <v>0</v>
      </c>
      <c r="H38" s="433">
        <f t="shared" si="15"/>
        <v>0</v>
      </c>
      <c r="I38" s="480"/>
      <c r="J38" s="421"/>
      <c r="K38" s="433">
        <f t="shared" si="16"/>
        <v>0</v>
      </c>
      <c r="L38" s="480"/>
      <c r="M38" s="433"/>
      <c r="N38" s="433">
        <f t="shared" si="17"/>
        <v>0</v>
      </c>
      <c r="O38" s="480"/>
      <c r="P38" s="433"/>
      <c r="Q38" s="433">
        <f t="shared" si="18"/>
        <v>0</v>
      </c>
      <c r="R38" s="480"/>
      <c r="S38" s="601"/>
      <c r="T38" s="433"/>
      <c r="U38" s="433">
        <f t="shared" si="22"/>
        <v>0</v>
      </c>
      <c r="V38" s="433"/>
      <c r="W38" s="433">
        <f t="shared" si="19"/>
        <v>0</v>
      </c>
    </row>
    <row r="39" spans="1:23">
      <c r="A39" s="365" t="s">
        <v>53</v>
      </c>
      <c r="B39" s="517">
        <v>175767</v>
      </c>
      <c r="C39" s="433">
        <v>262849.02</v>
      </c>
      <c r="D39" s="433">
        <v>250000</v>
      </c>
      <c r="E39" s="433">
        <f>'Budget m. LL22'!Q40</f>
        <v>250000</v>
      </c>
      <c r="F39" s="527">
        <v>303906</v>
      </c>
      <c r="G39" s="433">
        <f t="shared" si="14"/>
        <v>53906</v>
      </c>
      <c r="H39" s="433">
        <f t="shared" si="15"/>
        <v>53906</v>
      </c>
      <c r="I39" s="478">
        <v>300000</v>
      </c>
      <c r="J39" s="563">
        <f>råbalance!F110</f>
        <v>317519.62</v>
      </c>
      <c r="K39" s="433">
        <f t="shared" si="16"/>
        <v>17519.619999999995</v>
      </c>
      <c r="L39" s="478">
        <v>325000</v>
      </c>
      <c r="M39" s="433">
        <v>444541.9</v>
      </c>
      <c r="N39" s="433">
        <f t="shared" si="17"/>
        <v>119541.90000000002</v>
      </c>
      <c r="O39" s="478">
        <v>325000</v>
      </c>
      <c r="P39" s="433">
        <v>325000</v>
      </c>
      <c r="Q39" s="433">
        <f t="shared" si="18"/>
        <v>0</v>
      </c>
      <c r="R39" s="478">
        <v>400000</v>
      </c>
      <c r="S39" s="600">
        <f>R39/4</f>
        <v>100000</v>
      </c>
      <c r="T39" s="433">
        <f>+'råbalanceQ1 2023'!C108</f>
        <v>96971.77</v>
      </c>
      <c r="U39" s="433">
        <f>T39-S39</f>
        <v>-3028.2299999999959</v>
      </c>
      <c r="V39" s="433">
        <v>400000</v>
      </c>
      <c r="W39" s="433">
        <f t="shared" si="19"/>
        <v>0</v>
      </c>
    </row>
    <row r="40" spans="1:23">
      <c r="A40" s="365" t="s">
        <v>54</v>
      </c>
      <c r="B40" s="517">
        <v>159834</v>
      </c>
      <c r="C40" s="433">
        <v>65946.850000000006</v>
      </c>
      <c r="D40" s="433">
        <v>150000</v>
      </c>
      <c r="E40" s="433">
        <f>'Budget m. LL22'!Q41</f>
        <v>125000</v>
      </c>
      <c r="F40" s="527">
        <v>196928</v>
      </c>
      <c r="G40" s="433">
        <f t="shared" si="14"/>
        <v>46928</v>
      </c>
      <c r="H40" s="433">
        <f t="shared" si="15"/>
        <v>71928</v>
      </c>
      <c r="I40" s="478">
        <v>150000</v>
      </c>
      <c r="J40" s="563">
        <v>117933</v>
      </c>
      <c r="K40" s="433">
        <f t="shared" si="16"/>
        <v>-32067</v>
      </c>
      <c r="L40" s="478">
        <v>150000</v>
      </c>
      <c r="M40" s="433">
        <f>+råbalance2022!C123</f>
        <v>130676.75</v>
      </c>
      <c r="N40" s="433">
        <f t="shared" si="17"/>
        <v>-19323.25</v>
      </c>
      <c r="O40" s="478">
        <v>150000</v>
      </c>
      <c r="P40" s="433">
        <v>150000</v>
      </c>
      <c r="Q40" s="433">
        <f t="shared" si="18"/>
        <v>0</v>
      </c>
      <c r="R40" s="478">
        <v>150000</v>
      </c>
      <c r="S40" s="600">
        <f t="shared" ref="S40:S42" si="23">R40/4</f>
        <v>37500</v>
      </c>
      <c r="T40" s="461">
        <f>+'råbalanceQ1 2023'!C123</f>
        <v>153563.24</v>
      </c>
      <c r="U40" s="433">
        <f>T40-S40</f>
        <v>116063.23999999999</v>
      </c>
      <c r="V40" s="461">
        <v>150000</v>
      </c>
      <c r="W40" s="433">
        <f t="shared" si="19"/>
        <v>0</v>
      </c>
    </row>
    <row r="41" spans="1:23">
      <c r="A41" s="365" t="s">
        <v>56</v>
      </c>
      <c r="B41" s="517">
        <v>8215</v>
      </c>
      <c r="C41" s="433">
        <v>0</v>
      </c>
      <c r="D41" s="433">
        <v>25000</v>
      </c>
      <c r="E41" s="433">
        <f>'Budget m. LL22'!Q43</f>
        <v>25000</v>
      </c>
      <c r="F41" s="527">
        <v>0</v>
      </c>
      <c r="G41" s="433">
        <f t="shared" si="14"/>
        <v>-25000</v>
      </c>
      <c r="H41" s="433">
        <f t="shared" si="15"/>
        <v>-25000</v>
      </c>
      <c r="I41" s="478">
        <v>25000</v>
      </c>
      <c r="J41" s="431">
        <v>0</v>
      </c>
      <c r="K41" s="433">
        <f t="shared" si="16"/>
        <v>-25000</v>
      </c>
      <c r="L41" s="478">
        <v>25000</v>
      </c>
      <c r="M41" s="433">
        <v>25000</v>
      </c>
      <c r="N41" s="433">
        <f t="shared" si="17"/>
        <v>0</v>
      </c>
      <c r="O41" s="478">
        <v>25000</v>
      </c>
      <c r="P41" s="433">
        <v>25000</v>
      </c>
      <c r="Q41" s="433">
        <f t="shared" si="18"/>
        <v>0</v>
      </c>
      <c r="R41" s="478">
        <v>25000</v>
      </c>
      <c r="S41" s="600">
        <f t="shared" si="23"/>
        <v>6250</v>
      </c>
      <c r="T41" s="433">
        <f>+'råbalanceQ1 2023'!C129</f>
        <v>0</v>
      </c>
      <c r="U41" s="433">
        <f t="shared" si="22"/>
        <v>-6250</v>
      </c>
      <c r="V41" s="433">
        <v>25000</v>
      </c>
      <c r="W41" s="433">
        <f t="shared" si="19"/>
        <v>0</v>
      </c>
    </row>
    <row r="42" spans="1:23">
      <c r="A42" s="359" t="s">
        <v>57</v>
      </c>
      <c r="B42" s="518">
        <f>SUM(B39:B41)</f>
        <v>343816</v>
      </c>
      <c r="C42" s="390">
        <f>SUM(C39:C41)</f>
        <v>328795.87</v>
      </c>
      <c r="D42" s="390">
        <f>SUM(D39:D41)</f>
        <v>425000</v>
      </c>
      <c r="E42" s="390">
        <f>SUM(E39:E41)</f>
        <v>400000</v>
      </c>
      <c r="F42" s="526">
        <f>SUM(F39:F41)</f>
        <v>500834</v>
      </c>
      <c r="G42" s="390">
        <f t="shared" si="14"/>
        <v>75834</v>
      </c>
      <c r="H42" s="390">
        <f t="shared" si="15"/>
        <v>100834</v>
      </c>
      <c r="I42" s="480">
        <f>SUM(I39:I41)</f>
        <v>475000</v>
      </c>
      <c r="J42" s="421">
        <f>SUM(J39:J41)</f>
        <v>435452.62</v>
      </c>
      <c r="K42" s="433">
        <f t="shared" si="16"/>
        <v>-39547.380000000005</v>
      </c>
      <c r="L42" s="480">
        <v>500000</v>
      </c>
      <c r="M42" s="390">
        <f>SUM(M39:M41)</f>
        <v>600218.65</v>
      </c>
      <c r="N42" s="433">
        <f t="shared" si="17"/>
        <v>100218.65000000002</v>
      </c>
      <c r="O42" s="480">
        <v>500000</v>
      </c>
      <c r="P42" s="390">
        <f t="shared" ref="P42" si="24">SUM(P39:P41)</f>
        <v>500000</v>
      </c>
      <c r="Q42" s="433">
        <f t="shared" si="18"/>
        <v>0</v>
      </c>
      <c r="R42" s="480">
        <f>SUM(R39:R41)</f>
        <v>575000</v>
      </c>
      <c r="S42" s="607">
        <f t="shared" si="23"/>
        <v>143750</v>
      </c>
      <c r="T42" s="390">
        <f>SUM(T39:T41)</f>
        <v>250535.01</v>
      </c>
      <c r="U42" s="578">
        <f t="shared" si="22"/>
        <v>106785.01000000001</v>
      </c>
      <c r="V42" s="390">
        <f>SUM(V39:V41)</f>
        <v>575000</v>
      </c>
      <c r="W42" s="433">
        <f t="shared" si="19"/>
        <v>0</v>
      </c>
    </row>
    <row r="43" spans="1:23" ht="5.25" customHeight="1">
      <c r="A43" s="359"/>
      <c r="B43" s="518"/>
      <c r="C43" s="390"/>
      <c r="E43" s="390"/>
      <c r="F43" s="526"/>
      <c r="G43" s="433">
        <f t="shared" si="14"/>
        <v>0</v>
      </c>
      <c r="H43" s="433">
        <f t="shared" si="15"/>
        <v>0</v>
      </c>
      <c r="I43" s="480"/>
      <c r="J43" s="421"/>
      <c r="K43" s="433">
        <f t="shared" si="16"/>
        <v>0</v>
      </c>
      <c r="L43" s="480"/>
      <c r="M43" s="433"/>
      <c r="N43" s="433">
        <f t="shared" si="17"/>
        <v>0</v>
      </c>
      <c r="O43" s="480"/>
      <c r="P43" s="433"/>
      <c r="Q43" s="433">
        <f t="shared" si="18"/>
        <v>0</v>
      </c>
      <c r="R43" s="480"/>
      <c r="S43" s="601"/>
      <c r="T43" s="433"/>
      <c r="U43" s="433">
        <f t="shared" si="22"/>
        <v>0</v>
      </c>
      <c r="V43" s="433"/>
      <c r="W43" s="433"/>
    </row>
    <row r="44" spans="1:23">
      <c r="A44" s="389" t="s">
        <v>58</v>
      </c>
      <c r="B44" s="517">
        <v>529235</v>
      </c>
      <c r="C44" s="433">
        <v>121366.97</v>
      </c>
      <c r="D44" s="433">
        <v>300000</v>
      </c>
      <c r="E44" s="433">
        <f>'Budget m. LL22'!Q46</f>
        <v>250000</v>
      </c>
      <c r="F44" s="527">
        <v>215768</v>
      </c>
      <c r="G44" s="433">
        <f t="shared" si="14"/>
        <v>-84232</v>
      </c>
      <c r="H44" s="433">
        <f t="shared" si="15"/>
        <v>-34232</v>
      </c>
      <c r="I44" s="478">
        <v>300000</v>
      </c>
      <c r="J44" s="563">
        <f>råbalance!F105-råbalance!F98</f>
        <v>161712.44999999995</v>
      </c>
      <c r="K44" s="433">
        <f t="shared" si="16"/>
        <v>-138287.55000000005</v>
      </c>
      <c r="L44" s="478">
        <v>300000</v>
      </c>
      <c r="M44" s="433">
        <v>233439</v>
      </c>
      <c r="N44" s="433">
        <f t="shared" si="17"/>
        <v>-66561</v>
      </c>
      <c r="O44" s="478">
        <v>300000</v>
      </c>
      <c r="P44" s="433">
        <v>300000</v>
      </c>
      <c r="Q44" s="433">
        <f t="shared" si="18"/>
        <v>0</v>
      </c>
      <c r="R44" s="478">
        <v>200000</v>
      </c>
      <c r="S44" s="600">
        <f>R44/4</f>
        <v>50000</v>
      </c>
      <c r="T44" s="433">
        <f>+'råbalanceQ1 2023'!C103-'råbalanceQ1 2023'!C96</f>
        <v>24987.100000000006</v>
      </c>
      <c r="U44" s="433">
        <f t="shared" si="22"/>
        <v>-25012.899999999994</v>
      </c>
      <c r="V44" s="433">
        <v>200000</v>
      </c>
      <c r="W44" s="433">
        <f t="shared" si="19"/>
        <v>0</v>
      </c>
    </row>
    <row r="45" spans="1:23">
      <c r="A45" s="466" t="s">
        <v>1527</v>
      </c>
      <c r="B45" s="538"/>
      <c r="C45" s="539"/>
      <c r="D45" s="539"/>
      <c r="E45" s="539"/>
      <c r="F45" s="540"/>
      <c r="G45" s="539"/>
      <c r="H45" s="539"/>
      <c r="I45" s="541">
        <v>1215000</v>
      </c>
      <c r="J45" s="565">
        <f>råbalance!F98</f>
        <v>884163.88</v>
      </c>
      <c r="K45" s="433">
        <f t="shared" si="16"/>
        <v>-330836.12</v>
      </c>
      <c r="L45" s="541">
        <v>1530000</v>
      </c>
      <c r="M45" s="433">
        <v>1186679</v>
      </c>
      <c r="N45" s="433">
        <f t="shared" si="17"/>
        <v>-343321</v>
      </c>
      <c r="O45" s="541">
        <v>1530000</v>
      </c>
      <c r="P45" s="433">
        <f>1530000+255836</f>
        <v>1785836</v>
      </c>
      <c r="Q45" s="433">
        <f t="shared" si="18"/>
        <v>255836</v>
      </c>
      <c r="R45" s="541">
        <v>1405000</v>
      </c>
      <c r="S45" s="600">
        <f t="shared" ref="S45:S46" si="25">R45/4</f>
        <v>351250</v>
      </c>
      <c r="T45" s="433">
        <f>+'råbalanceQ1 2023'!C96</f>
        <v>152651.57</v>
      </c>
      <c r="U45" s="433">
        <f t="shared" si="22"/>
        <v>-198598.43</v>
      </c>
      <c r="V45" s="433">
        <v>1405000</v>
      </c>
      <c r="W45" s="433">
        <f t="shared" si="19"/>
        <v>0</v>
      </c>
    </row>
    <row r="46" spans="1:23">
      <c r="A46" s="359" t="s">
        <v>60</v>
      </c>
      <c r="B46" s="518">
        <f>SUM(B44)</f>
        <v>529235</v>
      </c>
      <c r="C46" s="390">
        <f>SUM(C44)</f>
        <v>121366.97</v>
      </c>
      <c r="D46" s="390">
        <f>SUM(D44)</f>
        <v>300000</v>
      </c>
      <c r="E46" s="390">
        <f>SUM(E44)</f>
        <v>250000</v>
      </c>
      <c r="F46" s="526">
        <f>SUM(F44)</f>
        <v>215768</v>
      </c>
      <c r="G46" s="390">
        <f t="shared" si="14"/>
        <v>-84232</v>
      </c>
      <c r="H46" s="390">
        <f t="shared" si="15"/>
        <v>-34232</v>
      </c>
      <c r="I46" s="480">
        <f>SUM(I44:I45)</f>
        <v>1515000</v>
      </c>
      <c r="J46" s="421">
        <f>SUM(J44:J45)</f>
        <v>1045876.33</v>
      </c>
      <c r="K46" s="433">
        <f t="shared" si="16"/>
        <v>-469123.67000000004</v>
      </c>
      <c r="L46" s="480">
        <v>1830000</v>
      </c>
      <c r="M46" s="390">
        <f>SUM(M44:M45)</f>
        <v>1420118</v>
      </c>
      <c r="N46" s="433">
        <f t="shared" si="17"/>
        <v>-409882</v>
      </c>
      <c r="O46" s="480">
        <v>1830000</v>
      </c>
      <c r="P46" s="390">
        <f t="shared" ref="P46" si="26">SUM(P44:P45)</f>
        <v>2085836</v>
      </c>
      <c r="Q46" s="390">
        <f t="shared" si="18"/>
        <v>255836</v>
      </c>
      <c r="R46" s="480">
        <f>SUM(R44:R45)</f>
        <v>1605000</v>
      </c>
      <c r="S46" s="607">
        <f t="shared" si="25"/>
        <v>401250</v>
      </c>
      <c r="T46" s="390">
        <f>SUM(T44:T45)</f>
        <v>177638.67</v>
      </c>
      <c r="U46" s="578">
        <f t="shared" si="22"/>
        <v>-223611.33</v>
      </c>
      <c r="V46" s="390">
        <f>SUM(V44:V45)</f>
        <v>1605000</v>
      </c>
      <c r="W46" s="433">
        <f t="shared" si="19"/>
        <v>0</v>
      </c>
    </row>
    <row r="47" spans="1:23" ht="6" customHeight="1">
      <c r="A47" s="365"/>
      <c r="B47" s="517"/>
      <c r="C47" s="433"/>
      <c r="E47" s="433"/>
      <c r="F47" s="527"/>
      <c r="G47" s="433"/>
      <c r="H47" s="433"/>
      <c r="I47" s="478"/>
      <c r="J47" s="431"/>
      <c r="K47" s="433">
        <f t="shared" si="16"/>
        <v>0</v>
      </c>
      <c r="L47" s="478"/>
      <c r="M47" s="433"/>
      <c r="N47" s="433"/>
      <c r="O47" s="478"/>
      <c r="P47" s="433"/>
      <c r="Q47" s="433">
        <f t="shared" si="18"/>
        <v>0</v>
      </c>
      <c r="R47" s="478"/>
      <c r="S47" s="600"/>
      <c r="T47" s="433"/>
      <c r="U47" s="433"/>
      <c r="V47" s="433"/>
      <c r="W47" s="433"/>
    </row>
    <row r="48" spans="1:23">
      <c r="A48" s="365" t="s">
        <v>1485</v>
      </c>
      <c r="B48" s="517">
        <v>422289</v>
      </c>
      <c r="C48" s="433">
        <v>252593.49</v>
      </c>
      <c r="D48" s="433">
        <v>475000</v>
      </c>
      <c r="E48" s="433">
        <f>'Budget m. LL22'!Q49</f>
        <v>247330</v>
      </c>
      <c r="F48" s="527">
        <v>383621</v>
      </c>
      <c r="G48" s="433">
        <f t="shared" si="14"/>
        <v>-91379</v>
      </c>
      <c r="H48" s="433">
        <f t="shared" si="15"/>
        <v>136291</v>
      </c>
      <c r="I48" s="478">
        <v>250000</v>
      </c>
      <c r="J48" s="556">
        <v>220400</v>
      </c>
      <c r="K48" s="433">
        <f t="shared" si="16"/>
        <v>-29600</v>
      </c>
      <c r="L48" s="478">
        <v>250000</v>
      </c>
      <c r="M48" s="433">
        <v>326012</v>
      </c>
      <c r="N48" s="433">
        <f>M48-L48</f>
        <v>76012</v>
      </c>
      <c r="O48" s="478">
        <v>250000</v>
      </c>
      <c r="P48" s="433">
        <v>250000</v>
      </c>
      <c r="Q48" s="433">
        <f t="shared" si="18"/>
        <v>0</v>
      </c>
      <c r="R48" s="478">
        <v>305000</v>
      </c>
      <c r="S48" s="600">
        <f>R48/4</f>
        <v>76250</v>
      </c>
      <c r="T48" s="433">
        <f>+'råbalanceQ1 2023'!G682</f>
        <v>77380.39</v>
      </c>
      <c r="U48" s="433">
        <f>T48-S48</f>
        <v>1130.3899999999994</v>
      </c>
      <c r="V48" s="433">
        <f>R48</f>
        <v>305000</v>
      </c>
      <c r="W48" s="433">
        <f t="shared" si="19"/>
        <v>0</v>
      </c>
    </row>
    <row r="49" spans="1:23">
      <c r="A49" s="365" t="s">
        <v>63</v>
      </c>
      <c r="B49" s="517">
        <v>185864</v>
      </c>
      <c r="C49" s="433">
        <v>122730.01</v>
      </c>
      <c r="D49" s="433">
        <v>220000</v>
      </c>
      <c r="E49" s="433">
        <f>'Budget m. LL22'!Q50</f>
        <v>169785</v>
      </c>
      <c r="F49" s="527">
        <v>156230</v>
      </c>
      <c r="G49" s="433">
        <f t="shared" si="14"/>
        <v>-63770</v>
      </c>
      <c r="H49" s="433">
        <f t="shared" si="15"/>
        <v>-13555</v>
      </c>
      <c r="I49" s="478">
        <v>175000</v>
      </c>
      <c r="J49" s="556">
        <v>162036</v>
      </c>
      <c r="K49" s="433">
        <f t="shared" si="16"/>
        <v>-12964</v>
      </c>
      <c r="L49" s="478">
        <v>175000</v>
      </c>
      <c r="M49" s="433">
        <v>265395</v>
      </c>
      <c r="N49" s="433">
        <f t="shared" si="17"/>
        <v>90395</v>
      </c>
      <c r="O49" s="478">
        <v>175000</v>
      </c>
      <c r="P49" s="433">
        <v>175000</v>
      </c>
      <c r="Q49" s="433">
        <f t="shared" si="18"/>
        <v>0</v>
      </c>
      <c r="R49" s="478">
        <v>175000</v>
      </c>
      <c r="S49" s="600">
        <f t="shared" ref="S49:S59" si="27">R49/4</f>
        <v>43750</v>
      </c>
      <c r="T49" s="433">
        <f>+'råbalanceQ1 2023'!G650</f>
        <v>90012.5</v>
      </c>
      <c r="U49" s="433">
        <f t="shared" si="22"/>
        <v>46262.5</v>
      </c>
      <c r="V49" s="433">
        <f t="shared" ref="V49:V58" si="28">R49</f>
        <v>175000</v>
      </c>
      <c r="W49" s="433">
        <f t="shared" si="19"/>
        <v>0</v>
      </c>
    </row>
    <row r="50" spans="1:23" hidden="1">
      <c r="A50" s="365" t="s">
        <v>64</v>
      </c>
      <c r="B50" s="517">
        <v>173000</v>
      </c>
      <c r="C50" s="433">
        <v>96688.75</v>
      </c>
      <c r="D50" s="433">
        <v>200000</v>
      </c>
      <c r="E50" s="433">
        <f>'Budget m. LL22'!Q51</f>
        <v>135134</v>
      </c>
      <c r="F50" s="527">
        <v>113243</v>
      </c>
      <c r="G50" s="433">
        <f t="shared" si="14"/>
        <v>-86757</v>
      </c>
      <c r="H50" s="433">
        <f t="shared" si="15"/>
        <v>-21891</v>
      </c>
      <c r="I50" s="478">
        <v>135000</v>
      </c>
      <c r="J50" s="556">
        <v>139587</v>
      </c>
      <c r="K50" s="433">
        <f t="shared" si="16"/>
        <v>4587</v>
      </c>
      <c r="L50" s="478">
        <v>135000</v>
      </c>
      <c r="M50" s="433">
        <v>56406</v>
      </c>
      <c r="N50" s="433">
        <f t="shared" si="17"/>
        <v>-78594</v>
      </c>
      <c r="O50" s="478">
        <v>135000</v>
      </c>
      <c r="P50" s="433">
        <v>135000</v>
      </c>
      <c r="Q50" s="433">
        <f t="shared" si="18"/>
        <v>0</v>
      </c>
      <c r="R50" s="478">
        <v>0</v>
      </c>
      <c r="S50" s="600">
        <f t="shared" si="27"/>
        <v>0</v>
      </c>
      <c r="T50" s="433">
        <v>0</v>
      </c>
      <c r="U50" s="433">
        <f t="shared" si="22"/>
        <v>0</v>
      </c>
      <c r="V50" s="433">
        <f t="shared" si="28"/>
        <v>0</v>
      </c>
      <c r="W50" s="433">
        <f t="shared" si="19"/>
        <v>0</v>
      </c>
    </row>
    <row r="51" spans="1:23" hidden="1">
      <c r="A51" s="396" t="s">
        <v>65</v>
      </c>
      <c r="B51" s="517">
        <v>193643</v>
      </c>
      <c r="C51" s="433">
        <v>138782.09</v>
      </c>
      <c r="D51" s="433">
        <v>250000</v>
      </c>
      <c r="E51" s="433">
        <f>'Budget m. LL22'!Q52</f>
        <v>177800</v>
      </c>
      <c r="F51" s="528">
        <v>132554</v>
      </c>
      <c r="G51" s="433">
        <f t="shared" si="14"/>
        <v>-117446</v>
      </c>
      <c r="H51" s="433">
        <f t="shared" si="15"/>
        <v>-45246</v>
      </c>
      <c r="I51" s="478">
        <v>180000</v>
      </c>
      <c r="J51" s="556">
        <v>114508</v>
      </c>
      <c r="K51" s="433">
        <f t="shared" si="16"/>
        <v>-65492</v>
      </c>
      <c r="L51" s="478">
        <v>180000</v>
      </c>
      <c r="M51" s="433">
        <v>177210</v>
      </c>
      <c r="N51" s="433">
        <f t="shared" si="17"/>
        <v>-2790</v>
      </c>
      <c r="O51" s="478">
        <v>180000</v>
      </c>
      <c r="P51" s="433">
        <v>180000</v>
      </c>
      <c r="Q51" s="433">
        <f t="shared" si="18"/>
        <v>0</v>
      </c>
      <c r="R51" s="478">
        <v>0</v>
      </c>
      <c r="S51" s="600">
        <f t="shared" si="27"/>
        <v>0</v>
      </c>
      <c r="T51" s="433">
        <v>0</v>
      </c>
      <c r="U51" s="433">
        <f t="shared" si="22"/>
        <v>0</v>
      </c>
      <c r="V51" s="433">
        <f t="shared" si="28"/>
        <v>0</v>
      </c>
      <c r="W51" s="433">
        <f t="shared" si="19"/>
        <v>0</v>
      </c>
    </row>
    <row r="52" spans="1:23" hidden="1">
      <c r="A52" s="396" t="s">
        <v>67</v>
      </c>
      <c r="B52" s="517">
        <v>46115</v>
      </c>
      <c r="C52" s="433">
        <v>56111.94</v>
      </c>
      <c r="D52" s="433">
        <v>0</v>
      </c>
      <c r="E52" s="433">
        <f>'Budget m. LL22'!Q54</f>
        <v>0</v>
      </c>
      <c r="F52" s="527">
        <v>-36612</v>
      </c>
      <c r="G52" s="433">
        <f t="shared" si="14"/>
        <v>-36612</v>
      </c>
      <c r="H52" s="433">
        <f t="shared" si="15"/>
        <v>-36612</v>
      </c>
      <c r="I52" s="478">
        <v>0</v>
      </c>
      <c r="J52" s="556">
        <v>-3941</v>
      </c>
      <c r="K52" s="433">
        <f t="shared" si="16"/>
        <v>-3941</v>
      </c>
      <c r="L52" s="478">
        <v>0</v>
      </c>
      <c r="M52" s="433">
        <v>-75285</v>
      </c>
      <c r="N52" s="433">
        <f t="shared" si="17"/>
        <v>-75285</v>
      </c>
      <c r="O52" s="478">
        <v>0</v>
      </c>
      <c r="P52" s="433">
        <v>0</v>
      </c>
      <c r="Q52" s="433">
        <f t="shared" si="18"/>
        <v>0</v>
      </c>
      <c r="R52" s="478">
        <v>0</v>
      </c>
      <c r="S52" s="600">
        <f t="shared" si="27"/>
        <v>0</v>
      </c>
      <c r="T52" s="433">
        <v>0</v>
      </c>
      <c r="U52" s="433">
        <f t="shared" si="22"/>
        <v>0</v>
      </c>
      <c r="V52" s="433">
        <f t="shared" si="28"/>
        <v>0</v>
      </c>
      <c r="W52" s="433">
        <f t="shared" si="19"/>
        <v>0</v>
      </c>
    </row>
    <row r="53" spans="1:23" hidden="1">
      <c r="A53" s="397" t="s">
        <v>68</v>
      </c>
      <c r="B53" s="517">
        <v>147770</v>
      </c>
      <c r="C53" s="433">
        <v>73744.509999999995</v>
      </c>
      <c r="D53" s="433">
        <v>250000</v>
      </c>
      <c r="E53" s="433">
        <f>'Budget m. LL22'!Q55</f>
        <v>120000</v>
      </c>
      <c r="F53" s="527">
        <v>101306</v>
      </c>
      <c r="G53" s="433">
        <f t="shared" si="14"/>
        <v>-148694</v>
      </c>
      <c r="H53" s="433">
        <f t="shared" si="15"/>
        <v>-18694</v>
      </c>
      <c r="I53" s="478">
        <v>220000</v>
      </c>
      <c r="J53" s="556">
        <v>113970</v>
      </c>
      <c r="K53" s="433">
        <f t="shared" si="16"/>
        <v>-106030</v>
      </c>
      <c r="L53" s="478">
        <v>220000</v>
      </c>
      <c r="M53" s="433">
        <v>34937</v>
      </c>
      <c r="N53" s="433">
        <f t="shared" si="17"/>
        <v>-185063</v>
      </c>
      <c r="O53" s="478">
        <v>220000</v>
      </c>
      <c r="P53" s="433">
        <v>220000</v>
      </c>
      <c r="Q53" s="433">
        <f t="shared" si="18"/>
        <v>0</v>
      </c>
      <c r="R53" s="478">
        <v>0</v>
      </c>
      <c r="S53" s="600">
        <f t="shared" si="27"/>
        <v>0</v>
      </c>
      <c r="T53" s="433">
        <v>0</v>
      </c>
      <c r="U53" s="433">
        <f t="shared" si="22"/>
        <v>0</v>
      </c>
      <c r="V53" s="433">
        <f t="shared" si="28"/>
        <v>0</v>
      </c>
      <c r="W53" s="433">
        <f t="shared" si="19"/>
        <v>0</v>
      </c>
    </row>
    <row r="54" spans="1:23">
      <c r="A54" s="397" t="s">
        <v>1528</v>
      </c>
      <c r="B54" s="517"/>
      <c r="C54" s="433"/>
      <c r="D54" s="433"/>
      <c r="E54" s="433"/>
      <c r="F54" s="527"/>
      <c r="G54" s="433"/>
      <c r="H54" s="433"/>
      <c r="I54" s="478"/>
      <c r="J54" s="556"/>
      <c r="K54" s="433"/>
      <c r="L54" s="478"/>
      <c r="M54" s="433"/>
      <c r="N54" s="433"/>
      <c r="O54" s="478"/>
      <c r="P54" s="433"/>
      <c r="Q54" s="433"/>
      <c r="R54" s="478">
        <v>150000</v>
      </c>
      <c r="S54" s="600">
        <f t="shared" si="27"/>
        <v>37500</v>
      </c>
      <c r="T54" s="461">
        <f>+'råbalanceQ1 2023'!G655</f>
        <v>886.2399999999999</v>
      </c>
      <c r="U54" s="433"/>
      <c r="V54" s="433">
        <f t="shared" si="28"/>
        <v>150000</v>
      </c>
      <c r="W54" s="433">
        <f t="shared" si="19"/>
        <v>0</v>
      </c>
    </row>
    <row r="55" spans="1:23">
      <c r="A55" s="397" t="s">
        <v>1529</v>
      </c>
      <c r="B55" s="517"/>
      <c r="C55" s="433"/>
      <c r="D55" s="433"/>
      <c r="E55" s="433"/>
      <c r="F55" s="527"/>
      <c r="G55" s="433"/>
      <c r="H55" s="433"/>
      <c r="I55" s="478"/>
      <c r="J55" s="556"/>
      <c r="K55" s="433"/>
      <c r="L55" s="478"/>
      <c r="M55" s="433"/>
      <c r="N55" s="433"/>
      <c r="O55" s="478"/>
      <c r="P55" s="433"/>
      <c r="Q55" s="433"/>
      <c r="R55" s="478">
        <v>190000</v>
      </c>
      <c r="S55" s="600">
        <f t="shared" si="27"/>
        <v>47500</v>
      </c>
      <c r="T55" s="433">
        <f>+'råbalanceQ1 2023'!G641</f>
        <v>2202.6</v>
      </c>
      <c r="U55" s="433"/>
      <c r="V55" s="433">
        <f t="shared" si="28"/>
        <v>190000</v>
      </c>
      <c r="W55" s="433">
        <f t="shared" si="19"/>
        <v>0</v>
      </c>
    </row>
    <row r="56" spans="1:23">
      <c r="A56" s="397" t="s">
        <v>70</v>
      </c>
      <c r="B56" s="517"/>
      <c r="C56" s="433"/>
      <c r="D56" s="433"/>
      <c r="E56" s="433"/>
      <c r="F56" s="527"/>
      <c r="G56" s="433"/>
      <c r="H56" s="433"/>
      <c r="I56" s="478"/>
      <c r="J56" s="556"/>
      <c r="K56" s="433"/>
      <c r="L56" s="478"/>
      <c r="M56" s="433"/>
      <c r="N56" s="433"/>
      <c r="O56" s="478"/>
      <c r="P56" s="433"/>
      <c r="Q56" s="433"/>
      <c r="R56" s="478">
        <v>110000</v>
      </c>
      <c r="S56" s="600">
        <f t="shared" si="27"/>
        <v>27500</v>
      </c>
      <c r="T56" s="433">
        <f>+'råbalanceQ1 2023'!G688</f>
        <v>151067.49</v>
      </c>
      <c r="U56" s="433"/>
      <c r="V56" s="433">
        <f t="shared" si="28"/>
        <v>110000</v>
      </c>
      <c r="W56" s="433">
        <f t="shared" si="19"/>
        <v>0</v>
      </c>
    </row>
    <row r="57" spans="1:23">
      <c r="A57" s="397" t="s">
        <v>1530</v>
      </c>
      <c r="B57" s="517">
        <v>0</v>
      </c>
      <c r="C57" s="433">
        <v>0</v>
      </c>
      <c r="D57" s="389">
        <v>0</v>
      </c>
      <c r="E57" s="433">
        <f>'Budget m. LL22'!Q57</f>
        <v>235000</v>
      </c>
      <c r="F57" s="527"/>
      <c r="G57" s="433">
        <f t="shared" si="14"/>
        <v>0</v>
      </c>
      <c r="H57" s="433">
        <f t="shared" si="15"/>
        <v>-235000</v>
      </c>
      <c r="I57" s="478">
        <v>150000</v>
      </c>
      <c r="J57" s="431">
        <v>0</v>
      </c>
      <c r="K57" s="433">
        <f t="shared" si="16"/>
        <v>-150000</v>
      </c>
      <c r="L57" s="478">
        <v>150000</v>
      </c>
      <c r="M57" s="433">
        <v>243703</v>
      </c>
      <c r="N57" s="433">
        <f t="shared" si="17"/>
        <v>93703</v>
      </c>
      <c r="O57" s="478">
        <v>150000</v>
      </c>
      <c r="P57" s="433">
        <v>150000</v>
      </c>
      <c r="Q57" s="433">
        <f t="shared" si="18"/>
        <v>0</v>
      </c>
      <c r="R57" s="478">
        <v>170000</v>
      </c>
      <c r="S57" s="600">
        <f t="shared" si="27"/>
        <v>42500</v>
      </c>
      <c r="T57" s="433">
        <f>+'råbalanceQ1 2023'!G988</f>
        <v>9538.83</v>
      </c>
      <c r="U57" s="433">
        <f t="shared" si="22"/>
        <v>-32961.17</v>
      </c>
      <c r="V57" s="433">
        <f t="shared" si="28"/>
        <v>170000</v>
      </c>
      <c r="W57" s="433">
        <f t="shared" si="19"/>
        <v>0</v>
      </c>
    </row>
    <row r="58" spans="1:23">
      <c r="A58" s="397" t="s">
        <v>1531</v>
      </c>
      <c r="B58" s="517"/>
      <c r="C58" s="433"/>
      <c r="E58" s="433"/>
      <c r="F58" s="527"/>
      <c r="G58" s="433"/>
      <c r="H58" s="433"/>
      <c r="I58" s="478"/>
      <c r="J58" s="431"/>
      <c r="K58" s="433"/>
      <c r="L58" s="478"/>
      <c r="M58" s="433"/>
      <c r="N58" s="433"/>
      <c r="O58" s="478"/>
      <c r="P58" s="433"/>
      <c r="Q58" s="433"/>
      <c r="R58" s="478">
        <v>50000</v>
      </c>
      <c r="S58" s="600">
        <f t="shared" si="27"/>
        <v>12500</v>
      </c>
      <c r="T58" s="433">
        <v>0</v>
      </c>
      <c r="U58" s="433"/>
      <c r="V58" s="433">
        <f t="shared" si="28"/>
        <v>50000</v>
      </c>
      <c r="W58" s="433">
        <f t="shared" si="19"/>
        <v>0</v>
      </c>
    </row>
    <row r="59" spans="1:23">
      <c r="A59" s="359" t="s">
        <v>72</v>
      </c>
      <c r="B59" s="518">
        <f>SUM(B48:B57)</f>
        <v>1168681</v>
      </c>
      <c r="C59" s="390">
        <f>SUM(C48:C57)</f>
        <v>740650.79</v>
      </c>
      <c r="D59" s="390">
        <f>SUM(D48:D57)</f>
        <v>1395000</v>
      </c>
      <c r="E59" s="390">
        <f>SUM(E48:E57)</f>
        <v>1085049</v>
      </c>
      <c r="F59" s="526">
        <f>SUM(F48:F57)</f>
        <v>850342</v>
      </c>
      <c r="G59" s="390">
        <f t="shared" si="14"/>
        <v>-544658</v>
      </c>
      <c r="H59" s="390">
        <f t="shared" si="15"/>
        <v>-234707</v>
      </c>
      <c r="I59" s="480">
        <f>SUM(I48:I57)</f>
        <v>1110000</v>
      </c>
      <c r="J59" s="421">
        <f>SUM(J48:J57)</f>
        <v>746560</v>
      </c>
      <c r="K59" s="433">
        <f t="shared" si="16"/>
        <v>-363440</v>
      </c>
      <c r="L59" s="480">
        <v>1110000</v>
      </c>
      <c r="M59" s="390">
        <f>SUM(M48:M57)</f>
        <v>1028378</v>
      </c>
      <c r="N59" s="433">
        <f t="shared" si="17"/>
        <v>-81622</v>
      </c>
      <c r="O59" s="480">
        <v>1110000</v>
      </c>
      <c r="P59" s="390">
        <f t="shared" ref="P59" si="29">SUM(P48:P57)</f>
        <v>1110000</v>
      </c>
      <c r="Q59" s="433">
        <f t="shared" si="18"/>
        <v>0</v>
      </c>
      <c r="R59" s="480">
        <f>SUM(R48:R58)</f>
        <v>1150000</v>
      </c>
      <c r="S59" s="607">
        <f t="shared" si="27"/>
        <v>287500</v>
      </c>
      <c r="T59" s="390">
        <f>SUM(T48:T58)</f>
        <v>331088.05</v>
      </c>
      <c r="U59" s="578">
        <f t="shared" si="22"/>
        <v>43588.049999999988</v>
      </c>
      <c r="V59" s="390">
        <f>SUM(V48:V58)</f>
        <v>1150000</v>
      </c>
      <c r="W59" s="433">
        <f t="shared" si="19"/>
        <v>0</v>
      </c>
    </row>
    <row r="60" spans="1:23" ht="6" customHeight="1">
      <c r="A60" s="359"/>
      <c r="B60" s="518"/>
      <c r="C60" s="390"/>
      <c r="D60" s="433"/>
      <c r="E60" s="390"/>
      <c r="F60" s="526"/>
      <c r="G60" s="433"/>
      <c r="H60" s="433"/>
      <c r="I60" s="480"/>
      <c r="J60" s="421"/>
      <c r="K60" s="433">
        <f t="shared" si="16"/>
        <v>0</v>
      </c>
      <c r="L60" s="480"/>
      <c r="M60" s="559"/>
      <c r="N60" s="433"/>
      <c r="O60" s="480"/>
      <c r="P60" s="433"/>
      <c r="Q60" s="433"/>
      <c r="R60" s="480"/>
      <c r="S60" s="601"/>
      <c r="T60" s="559"/>
      <c r="U60" s="433"/>
      <c r="V60" s="559"/>
      <c r="W60" s="433"/>
    </row>
    <row r="61" spans="1:23">
      <c r="A61" s="365" t="s">
        <v>1486</v>
      </c>
      <c r="B61" s="517">
        <v>1452978</v>
      </c>
      <c r="C61" s="433">
        <f>1249244.2-GETPIVOTDATA("Beløb",Coronaøkonomi!$A$26,"Projekter Kode","RYSENSTEEN")</f>
        <v>1344903.77</v>
      </c>
      <c r="D61" s="433">
        <v>1400000</v>
      </c>
      <c r="E61" s="433">
        <f>'Budget m. LL22'!Q60</f>
        <v>1600000</v>
      </c>
      <c r="F61" s="527">
        <v>1713853.29</v>
      </c>
      <c r="G61" s="433">
        <f t="shared" si="14"/>
        <v>313853.29000000004</v>
      </c>
      <c r="H61" s="433">
        <f t="shared" si="15"/>
        <v>113853.29000000004</v>
      </c>
      <c r="I61" s="478">
        <v>1650000</v>
      </c>
      <c r="J61" s="431">
        <v>1559821.97</v>
      </c>
      <c r="K61" s="433">
        <f t="shared" si="16"/>
        <v>-90178.030000000028</v>
      </c>
      <c r="L61" s="478">
        <v>1400000</v>
      </c>
      <c r="M61" s="433">
        <v>1273977</v>
      </c>
      <c r="N61" s="433">
        <f t="shared" si="17"/>
        <v>-126023</v>
      </c>
      <c r="O61" s="478">
        <v>1400000</v>
      </c>
      <c r="P61" s="433">
        <v>1400000</v>
      </c>
      <c r="Q61" s="433">
        <f t="shared" si="18"/>
        <v>0</v>
      </c>
      <c r="R61" s="478">
        <v>1300000</v>
      </c>
      <c r="S61" s="600">
        <v>290000</v>
      </c>
      <c r="T61" s="433">
        <v>183184.93</v>
      </c>
      <c r="U61" s="433">
        <f t="shared" si="22"/>
        <v>-106815.07</v>
      </c>
      <c r="V61" s="433">
        <f t="shared" ref="V61:V64" si="30">R61</f>
        <v>1300000</v>
      </c>
      <c r="W61" s="433">
        <f t="shared" si="19"/>
        <v>0</v>
      </c>
    </row>
    <row r="62" spans="1:23">
      <c r="A62" s="365" t="s">
        <v>1487</v>
      </c>
      <c r="B62" s="517">
        <v>757675</v>
      </c>
      <c r="C62" s="433">
        <f>1384021.6-GETPIVOTDATA("Beløb",Coronaøkonomi!$A$26,"Projekter Kode","SLETTEN")</f>
        <v>1536027.29</v>
      </c>
      <c r="D62" s="433">
        <v>500000</v>
      </c>
      <c r="E62" s="433">
        <f>'Budget m. LL22'!Q61</f>
        <v>1880000</v>
      </c>
      <c r="F62" s="527">
        <v>2087717.07</v>
      </c>
      <c r="G62" s="433">
        <f t="shared" si="14"/>
        <v>1587717.07</v>
      </c>
      <c r="H62" s="433">
        <f t="shared" si="15"/>
        <v>207717.07000000007</v>
      </c>
      <c r="I62" s="478">
        <v>1336428.5714285714</v>
      </c>
      <c r="J62" s="431">
        <v>434661.17000000097</v>
      </c>
      <c r="K62" s="433">
        <f t="shared" si="16"/>
        <v>-901767.40142857039</v>
      </c>
      <c r="L62" s="478">
        <v>-223571.42857142858</v>
      </c>
      <c r="M62" s="433">
        <v>-370809</v>
      </c>
      <c r="N62" s="433">
        <f t="shared" si="17"/>
        <v>-147237.57142857142</v>
      </c>
      <c r="O62" s="478">
        <v>-223571.42857142858</v>
      </c>
      <c r="P62" s="433">
        <v>-223571.42857142858</v>
      </c>
      <c r="Q62" s="433">
        <f t="shared" si="18"/>
        <v>0</v>
      </c>
      <c r="R62" s="478">
        <v>-39000</v>
      </c>
      <c r="S62" s="600">
        <v>925000</v>
      </c>
      <c r="T62" s="433">
        <f>1180138.01+3006.88-23146.38</f>
        <v>1159998.51</v>
      </c>
      <c r="U62" s="433">
        <f t="shared" si="22"/>
        <v>234998.51</v>
      </c>
      <c r="V62" s="433">
        <f t="shared" si="30"/>
        <v>-39000</v>
      </c>
      <c r="W62" s="433">
        <f t="shared" si="19"/>
        <v>0</v>
      </c>
    </row>
    <row r="63" spans="1:23">
      <c r="A63" s="365" t="s">
        <v>77</v>
      </c>
      <c r="B63" s="517">
        <v>-98776</v>
      </c>
      <c r="C63" s="433">
        <v>74431.92</v>
      </c>
      <c r="D63" s="433">
        <v>-100000</v>
      </c>
      <c r="E63" s="433">
        <f>'Budget m. LL22'!Q62</f>
        <v>-100000</v>
      </c>
      <c r="F63" s="527">
        <v>40389</v>
      </c>
      <c r="G63" s="433">
        <f t="shared" si="14"/>
        <v>140389</v>
      </c>
      <c r="H63" s="433">
        <f t="shared" si="15"/>
        <v>140389</v>
      </c>
      <c r="I63" s="478">
        <v>-100000</v>
      </c>
      <c r="J63" s="431">
        <f>-råbalance!P229</f>
        <v>-21779.309999999998</v>
      </c>
      <c r="K63" s="433">
        <f t="shared" si="16"/>
        <v>78220.69</v>
      </c>
      <c r="L63" s="478">
        <v>-100000</v>
      </c>
      <c r="M63" s="433">
        <v>-82993</v>
      </c>
      <c r="N63" s="433">
        <f t="shared" si="17"/>
        <v>17007</v>
      </c>
      <c r="O63" s="478">
        <v>-100000</v>
      </c>
      <c r="P63" s="433">
        <v>-100000</v>
      </c>
      <c r="Q63" s="433">
        <f t="shared" si="18"/>
        <v>0</v>
      </c>
      <c r="R63" s="478">
        <v>-100000</v>
      </c>
      <c r="S63" s="600">
        <v>0</v>
      </c>
      <c r="T63" s="433">
        <f>40024.26-4074.14</f>
        <v>35950.120000000003</v>
      </c>
      <c r="U63" s="433">
        <f t="shared" si="22"/>
        <v>35950.120000000003</v>
      </c>
      <c r="V63" s="433">
        <f t="shared" si="30"/>
        <v>-100000</v>
      </c>
      <c r="W63" s="433">
        <f t="shared" si="19"/>
        <v>0</v>
      </c>
    </row>
    <row r="64" spans="1:23">
      <c r="A64" s="389" t="s">
        <v>78</v>
      </c>
      <c r="B64" s="517">
        <v>10051</v>
      </c>
      <c r="C64" s="433">
        <v>10985.6</v>
      </c>
      <c r="D64" s="433">
        <v>0</v>
      </c>
      <c r="E64" s="433">
        <f>'Budget m. LL22'!Q63</f>
        <v>0</v>
      </c>
      <c r="F64" s="527">
        <v>10986</v>
      </c>
      <c r="G64" s="433">
        <f t="shared" si="14"/>
        <v>10986</v>
      </c>
      <c r="H64" s="433">
        <f t="shared" si="15"/>
        <v>10986</v>
      </c>
      <c r="I64" s="478">
        <v>0</v>
      </c>
      <c r="J64" s="431">
        <v>10091</v>
      </c>
      <c r="K64" s="433">
        <f t="shared" si="16"/>
        <v>10091</v>
      </c>
      <c r="L64" s="478">
        <v>0</v>
      </c>
      <c r="M64" s="433">
        <f>+råbalance2022!C228</f>
        <v>8245.26</v>
      </c>
      <c r="N64" s="433">
        <f t="shared" si="17"/>
        <v>8245.26</v>
      </c>
      <c r="O64" s="478">
        <v>0</v>
      </c>
      <c r="P64" s="433">
        <v>0</v>
      </c>
      <c r="Q64" s="433">
        <f t="shared" si="18"/>
        <v>0</v>
      </c>
      <c r="R64" s="478">
        <v>15000</v>
      </c>
      <c r="S64" s="600">
        <f t="shared" ref="S64:S66" si="31">R64/4</f>
        <v>3750</v>
      </c>
      <c r="T64" s="433">
        <f>+'råbalanceQ1 2023'!C228</f>
        <v>3469.11</v>
      </c>
      <c r="U64" s="433">
        <f t="shared" si="22"/>
        <v>-280.88999999999987</v>
      </c>
      <c r="V64" s="433">
        <f t="shared" si="30"/>
        <v>15000</v>
      </c>
      <c r="W64" s="433">
        <f t="shared" si="19"/>
        <v>0</v>
      </c>
    </row>
    <row r="65" spans="1:23">
      <c r="A65" s="389" t="s">
        <v>79</v>
      </c>
      <c r="B65" s="517">
        <v>0</v>
      </c>
      <c r="C65" s="433">
        <v>0</v>
      </c>
      <c r="D65" s="433">
        <v>0</v>
      </c>
      <c r="E65" s="433">
        <f>'Budget m. LL22'!Q64</f>
        <v>150000</v>
      </c>
      <c r="F65" s="527">
        <v>0</v>
      </c>
      <c r="G65" s="433">
        <f t="shared" si="14"/>
        <v>0</v>
      </c>
      <c r="H65" s="433">
        <f t="shared" si="15"/>
        <v>-150000</v>
      </c>
      <c r="I65" s="478">
        <v>150000</v>
      </c>
      <c r="J65" s="431">
        <f>-råbalance!F200</f>
        <v>91051</v>
      </c>
      <c r="K65" s="433">
        <f t="shared" si="16"/>
        <v>-58949</v>
      </c>
      <c r="L65" s="478">
        <v>150000</v>
      </c>
      <c r="M65" s="433"/>
      <c r="N65" s="433">
        <f t="shared" si="17"/>
        <v>-150000</v>
      </c>
      <c r="O65" s="478">
        <v>150000</v>
      </c>
      <c r="P65" s="433">
        <v>91051</v>
      </c>
      <c r="Q65" s="433">
        <f t="shared" si="18"/>
        <v>-58949</v>
      </c>
      <c r="R65" s="478">
        <v>108000</v>
      </c>
      <c r="S65" s="600">
        <f t="shared" si="31"/>
        <v>27000</v>
      </c>
      <c r="T65" s="433">
        <f>+'råbalanceQ1 2023'!C198</f>
        <v>27220.52</v>
      </c>
      <c r="U65" s="433">
        <f t="shared" si="22"/>
        <v>220.52000000000044</v>
      </c>
      <c r="V65" s="433">
        <f>R65</f>
        <v>108000</v>
      </c>
      <c r="W65" s="433">
        <f t="shared" si="19"/>
        <v>0</v>
      </c>
    </row>
    <row r="66" spans="1:23">
      <c r="A66" s="359" t="s">
        <v>80</v>
      </c>
      <c r="B66" s="518">
        <f>SUM(B61:B65)</f>
        <v>2121928</v>
      </c>
      <c r="C66" s="390">
        <f>SUM(C61:C65)</f>
        <v>2966348.58</v>
      </c>
      <c r="D66" s="390">
        <f>SUM(D61:D65)</f>
        <v>1800000</v>
      </c>
      <c r="E66" s="390">
        <f>SUM(E61:E65)</f>
        <v>3530000</v>
      </c>
      <c r="F66" s="526">
        <f>SUM(F61:F65)</f>
        <v>3852945.3600000003</v>
      </c>
      <c r="G66" s="390">
        <f t="shared" si="14"/>
        <v>2052945.3600000003</v>
      </c>
      <c r="H66" s="390">
        <f t="shared" si="15"/>
        <v>322945.36000000034</v>
      </c>
      <c r="I66" s="480">
        <f>SUM(I61:I65)</f>
        <v>3036428.5714285714</v>
      </c>
      <c r="J66" s="421">
        <f>SUM(J61:J65)</f>
        <v>2073845.830000001</v>
      </c>
      <c r="K66" s="433">
        <f t="shared" si="16"/>
        <v>-962582.74142857036</v>
      </c>
      <c r="L66" s="480">
        <v>1226428.5714285714</v>
      </c>
      <c r="M66" s="578">
        <f>SUM(M61:M64)</f>
        <v>828420.26</v>
      </c>
      <c r="N66" s="433">
        <f t="shared" si="17"/>
        <v>-398008.31142857135</v>
      </c>
      <c r="O66" s="480">
        <v>1226428.5714285714</v>
      </c>
      <c r="P66" s="390">
        <f t="shared" ref="P66" si="32">SUM(P61:P65)</f>
        <v>1167479.5714285714</v>
      </c>
      <c r="Q66" s="390">
        <f t="shared" si="18"/>
        <v>-58949</v>
      </c>
      <c r="R66" s="480">
        <f>SUM(R61:R65)</f>
        <v>1284000</v>
      </c>
      <c r="S66" s="607">
        <f t="shared" si="31"/>
        <v>321000</v>
      </c>
      <c r="T66" s="578">
        <f>SUM(T61:T65)</f>
        <v>1409823.1900000002</v>
      </c>
      <c r="U66" s="578">
        <f t="shared" si="22"/>
        <v>1088823.1900000002</v>
      </c>
      <c r="V66" s="578">
        <f>SUM(V61:V65)</f>
        <v>1284000</v>
      </c>
      <c r="W66" s="433">
        <f t="shared" si="19"/>
        <v>0</v>
      </c>
    </row>
    <row r="67" spans="1:23">
      <c r="A67" s="359"/>
      <c r="B67" s="518"/>
      <c r="C67" s="390"/>
      <c r="D67" s="390"/>
      <c r="E67" s="390"/>
      <c r="F67" s="526"/>
      <c r="G67" s="390"/>
      <c r="H67" s="433"/>
      <c r="I67" s="480"/>
      <c r="J67" s="421"/>
      <c r="K67" s="433">
        <f t="shared" si="16"/>
        <v>0</v>
      </c>
      <c r="L67" s="480"/>
      <c r="M67" s="433"/>
      <c r="N67" s="433"/>
      <c r="O67" s="480"/>
      <c r="P67" s="433"/>
      <c r="Q67" s="433">
        <f t="shared" si="18"/>
        <v>0</v>
      </c>
      <c r="R67" s="480"/>
      <c r="S67" s="601"/>
      <c r="T67" s="433"/>
      <c r="U67" s="433"/>
      <c r="V67" s="433"/>
      <c r="W67" s="433">
        <f t="shared" si="19"/>
        <v>0</v>
      </c>
    </row>
    <row r="68" spans="1:23">
      <c r="A68" s="365" t="s">
        <v>81</v>
      </c>
      <c r="B68" s="517">
        <v>161618</v>
      </c>
      <c r="C68" s="433">
        <v>320412.59999999998</v>
      </c>
      <c r="D68" s="433">
        <v>75000</v>
      </c>
      <c r="E68" s="433">
        <f>'Budget m. LL22'!Q67</f>
        <v>375000</v>
      </c>
      <c r="F68" s="527">
        <v>257397</v>
      </c>
      <c r="G68" s="433">
        <f t="shared" si="14"/>
        <v>182397</v>
      </c>
      <c r="H68" s="433">
        <f t="shared" si="15"/>
        <v>-117603</v>
      </c>
      <c r="I68" s="478">
        <v>150000</v>
      </c>
      <c r="J68" s="563">
        <v>287481.34999999998</v>
      </c>
      <c r="K68" s="433">
        <f t="shared" si="16"/>
        <v>137481.34999999998</v>
      </c>
      <c r="L68" s="478">
        <v>150000</v>
      </c>
      <c r="M68" s="433">
        <f>+råbalance2022!C249</f>
        <v>59595.99</v>
      </c>
      <c r="N68" s="433">
        <f t="shared" si="17"/>
        <v>-90404.010000000009</v>
      </c>
      <c r="O68" s="478">
        <v>150000</v>
      </c>
      <c r="P68" s="433">
        <v>150000</v>
      </c>
      <c r="Q68" s="433">
        <f t="shared" si="18"/>
        <v>0</v>
      </c>
      <c r="R68" s="478">
        <v>250000</v>
      </c>
      <c r="S68" s="600">
        <f>R68/4</f>
        <v>62500</v>
      </c>
      <c r="T68" s="433">
        <f>+'råbalanceQ1 2023'!C249</f>
        <v>4035.26</v>
      </c>
      <c r="U68" s="433">
        <f t="shared" si="22"/>
        <v>-58464.74</v>
      </c>
      <c r="V68" s="433">
        <f t="shared" ref="V68:V69" si="33">R68</f>
        <v>250000</v>
      </c>
      <c r="W68" s="433">
        <f t="shared" si="19"/>
        <v>0</v>
      </c>
    </row>
    <row r="69" spans="1:23">
      <c r="A69" s="365" t="s">
        <v>2348</v>
      </c>
      <c r="B69" s="517">
        <v>246088</v>
      </c>
      <c r="C69" s="433">
        <v>158557.54</v>
      </c>
      <c r="D69" s="433">
        <v>300000</v>
      </c>
      <c r="E69" s="433">
        <f>'Budget m. LL22'!Q68</f>
        <v>225000</v>
      </c>
      <c r="F69" s="527">
        <v>225427</v>
      </c>
      <c r="G69" s="433">
        <f t="shared" si="14"/>
        <v>-74573</v>
      </c>
      <c r="H69" s="433">
        <f t="shared" si="15"/>
        <v>427</v>
      </c>
      <c r="I69" s="478">
        <v>275000</v>
      </c>
      <c r="J69" s="563">
        <f>råbalance!F262</f>
        <v>263244.38</v>
      </c>
      <c r="K69" s="433">
        <f t="shared" si="16"/>
        <v>-11755.619999999995</v>
      </c>
      <c r="L69" s="478">
        <v>275000</v>
      </c>
      <c r="M69" s="433">
        <f>+råbalance2022!C260</f>
        <v>361537.45</v>
      </c>
      <c r="N69" s="433">
        <f t="shared" si="17"/>
        <v>86537.450000000012</v>
      </c>
      <c r="O69" s="478">
        <v>275000</v>
      </c>
      <c r="P69" s="433">
        <v>275000</v>
      </c>
      <c r="Q69" s="433">
        <f t="shared" si="18"/>
        <v>0</v>
      </c>
      <c r="R69" s="478">
        <v>275000</v>
      </c>
      <c r="S69" s="600">
        <f t="shared" ref="S69:S71" si="34">R69/4</f>
        <v>68750</v>
      </c>
      <c r="T69" s="433">
        <f>+'råbalanceQ1 2023'!C260</f>
        <v>107067.63</v>
      </c>
      <c r="U69" s="433">
        <f t="shared" si="22"/>
        <v>38317.630000000005</v>
      </c>
      <c r="V69" s="433">
        <f t="shared" si="33"/>
        <v>275000</v>
      </c>
      <c r="W69" s="433">
        <f t="shared" si="19"/>
        <v>0</v>
      </c>
    </row>
    <row r="70" spans="1:23">
      <c r="A70" s="365" t="s">
        <v>1532</v>
      </c>
      <c r="B70" s="517">
        <v>-20901</v>
      </c>
      <c r="C70" s="433">
        <v>193692.66</v>
      </c>
      <c r="D70" s="433">
        <v>150000</v>
      </c>
      <c r="E70" s="433">
        <v>500000</v>
      </c>
      <c r="F70" s="527">
        <v>402525</v>
      </c>
      <c r="G70" s="433">
        <f t="shared" si="14"/>
        <v>252525</v>
      </c>
      <c r="H70" s="433">
        <f t="shared" si="15"/>
        <v>-97475</v>
      </c>
      <c r="I70" s="478">
        <v>50000</v>
      </c>
      <c r="J70" s="431">
        <f>råbalance!F270</f>
        <v>2412.48</v>
      </c>
      <c r="K70" s="433">
        <f t="shared" si="16"/>
        <v>-47587.519999999997</v>
      </c>
      <c r="L70" s="478">
        <v>50000</v>
      </c>
      <c r="M70" s="433">
        <f>+råbalance2022!C268</f>
        <v>84984.45</v>
      </c>
      <c r="N70" s="433">
        <f t="shared" si="17"/>
        <v>34984.449999999997</v>
      </c>
      <c r="O70" s="478">
        <v>50000</v>
      </c>
      <c r="P70" s="433">
        <v>50000</v>
      </c>
      <c r="Q70" s="433">
        <f t="shared" si="18"/>
        <v>0</v>
      </c>
      <c r="R70" s="478">
        <v>0</v>
      </c>
      <c r="S70" s="600">
        <f t="shared" si="34"/>
        <v>0</v>
      </c>
      <c r="T70" s="433">
        <f>+'råbalanceQ1 2023'!C268</f>
        <v>0</v>
      </c>
      <c r="U70" s="433">
        <f t="shared" si="22"/>
        <v>0</v>
      </c>
      <c r="V70" s="433"/>
      <c r="W70" s="433">
        <f t="shared" si="19"/>
        <v>0</v>
      </c>
    </row>
    <row r="71" spans="1:23">
      <c r="A71" s="359" t="s">
        <v>87</v>
      </c>
      <c r="B71" s="518">
        <f>SUM(B68:B70)</f>
        <v>386805</v>
      </c>
      <c r="C71" s="390">
        <f>SUM(C68:C70)</f>
        <v>672662.8</v>
      </c>
      <c r="D71" s="390">
        <f>SUM(D68:D70)</f>
        <v>525000</v>
      </c>
      <c r="E71" s="390">
        <f>SUM(E68:E70)</f>
        <v>1100000</v>
      </c>
      <c r="F71" s="526">
        <f>SUM(F68:F70)</f>
        <v>885349</v>
      </c>
      <c r="G71" s="390">
        <f t="shared" si="14"/>
        <v>360349</v>
      </c>
      <c r="H71" s="390">
        <f t="shared" si="15"/>
        <v>-214651</v>
      </c>
      <c r="I71" s="480">
        <f>SUM(I68:I70)</f>
        <v>475000</v>
      </c>
      <c r="J71" s="421">
        <f>SUM(J68:J70)</f>
        <v>553138.21</v>
      </c>
      <c r="K71" s="433">
        <f t="shared" si="16"/>
        <v>78138.209999999963</v>
      </c>
      <c r="L71" s="480">
        <v>475000</v>
      </c>
      <c r="M71" s="390">
        <f>SUM(M68:M70)</f>
        <v>506117.89</v>
      </c>
      <c r="N71" s="433">
        <f t="shared" si="17"/>
        <v>31117.890000000014</v>
      </c>
      <c r="O71" s="480">
        <v>475000</v>
      </c>
      <c r="P71" s="390">
        <f t="shared" ref="P71" si="35">SUM(P68:P70)</f>
        <v>475000</v>
      </c>
      <c r="Q71" s="433">
        <f t="shared" si="18"/>
        <v>0</v>
      </c>
      <c r="R71" s="480">
        <f>SUM(R68:R70)</f>
        <v>525000</v>
      </c>
      <c r="S71" s="607">
        <f t="shared" si="34"/>
        <v>131250</v>
      </c>
      <c r="T71" s="390">
        <f>SUM(T68:T70)</f>
        <v>111102.89</v>
      </c>
      <c r="U71" s="578">
        <f>T71-S71</f>
        <v>-20147.11</v>
      </c>
      <c r="V71" s="390">
        <f>SUM(V68:V70)</f>
        <v>525000</v>
      </c>
      <c r="W71" s="433">
        <f t="shared" si="19"/>
        <v>0</v>
      </c>
    </row>
    <row r="72" spans="1:23" ht="5.25" customHeight="1">
      <c r="A72" s="359"/>
      <c r="B72" s="518"/>
      <c r="C72" s="390"/>
      <c r="E72" s="390"/>
      <c r="F72" s="526">
        <f>SUM(F68:F70)</f>
        <v>885349</v>
      </c>
      <c r="G72" s="433"/>
      <c r="H72" s="433"/>
      <c r="I72" s="480"/>
      <c r="J72" s="421"/>
      <c r="K72" s="433">
        <f t="shared" si="16"/>
        <v>0</v>
      </c>
      <c r="L72" s="480"/>
      <c r="M72" s="433"/>
      <c r="N72" s="433">
        <f t="shared" si="17"/>
        <v>0</v>
      </c>
      <c r="O72" s="480"/>
      <c r="P72" s="433"/>
      <c r="Q72" s="433">
        <f t="shared" si="18"/>
        <v>0</v>
      </c>
      <c r="R72" s="480"/>
      <c r="S72" s="601"/>
      <c r="T72" s="433"/>
      <c r="U72" s="433">
        <f t="shared" si="22"/>
        <v>0</v>
      </c>
      <c r="V72" s="433"/>
      <c r="W72" s="433"/>
    </row>
    <row r="73" spans="1:23">
      <c r="A73" s="365" t="s">
        <v>88</v>
      </c>
      <c r="B73" s="517">
        <v>365931</v>
      </c>
      <c r="C73" s="433">
        <v>382429.28</v>
      </c>
      <c r="D73" s="433">
        <v>400000</v>
      </c>
      <c r="E73" s="433">
        <f>'Budget m. LL22'!Q72</f>
        <v>430000</v>
      </c>
      <c r="F73" s="527">
        <v>382429</v>
      </c>
      <c r="G73" s="433">
        <f t="shared" si="14"/>
        <v>-17571</v>
      </c>
      <c r="H73" s="433">
        <f t="shared" si="15"/>
        <v>-47571</v>
      </c>
      <c r="I73" s="478">
        <v>400000</v>
      </c>
      <c r="J73" s="563">
        <f>råbalance!F301</f>
        <v>293437.64</v>
      </c>
      <c r="K73" s="433">
        <f t="shared" si="16"/>
        <v>-106562.35999999999</v>
      </c>
      <c r="L73" s="478">
        <v>400000</v>
      </c>
      <c r="M73" s="433">
        <f>+råbalance2022!C299</f>
        <v>371036.37</v>
      </c>
      <c r="N73" s="433">
        <f t="shared" si="17"/>
        <v>-28963.630000000005</v>
      </c>
      <c r="O73" s="478">
        <v>400000</v>
      </c>
      <c r="P73" s="433">
        <v>400000</v>
      </c>
      <c r="Q73" s="433">
        <f t="shared" si="18"/>
        <v>0</v>
      </c>
      <c r="R73" s="478">
        <v>400000</v>
      </c>
      <c r="S73" s="600">
        <f>+R73</f>
        <v>400000</v>
      </c>
      <c r="T73" s="433">
        <f>+'råbalanceQ1 2023'!C299</f>
        <v>651883.63</v>
      </c>
      <c r="U73" s="433">
        <f t="shared" si="22"/>
        <v>251883.63</v>
      </c>
      <c r="V73" s="433">
        <f t="shared" ref="V73:V79" si="36">R73</f>
        <v>400000</v>
      </c>
      <c r="W73" s="433">
        <f t="shared" si="19"/>
        <v>0</v>
      </c>
    </row>
    <row r="74" spans="1:23">
      <c r="A74" s="365" t="s">
        <v>89</v>
      </c>
      <c r="B74" s="517">
        <v>207157</v>
      </c>
      <c r="C74" s="433">
        <v>158175.01999999999</v>
      </c>
      <c r="D74" s="433">
        <v>220000</v>
      </c>
      <c r="E74" s="433">
        <f>'Budget m. LL22'!Q73</f>
        <v>200000</v>
      </c>
      <c r="F74" s="527">
        <v>199126</v>
      </c>
      <c r="G74" s="433">
        <f t="shared" si="14"/>
        <v>-20874</v>
      </c>
      <c r="H74" s="433">
        <f t="shared" si="15"/>
        <v>-874</v>
      </c>
      <c r="I74" s="478">
        <v>220000</v>
      </c>
      <c r="J74" s="563">
        <f>råbalance!F306</f>
        <v>200451.9</v>
      </c>
      <c r="K74" s="433">
        <f t="shared" si="16"/>
        <v>-19548.100000000006</v>
      </c>
      <c r="L74" s="478">
        <v>220000</v>
      </c>
      <c r="M74" s="433">
        <f>+råbalance2022!C304</f>
        <v>204340.19</v>
      </c>
      <c r="N74" s="433">
        <f t="shared" si="17"/>
        <v>-15659.809999999998</v>
      </c>
      <c r="O74" s="478">
        <v>220000</v>
      </c>
      <c r="P74" s="433">
        <v>220000</v>
      </c>
      <c r="Q74" s="433">
        <f t="shared" si="18"/>
        <v>0</v>
      </c>
      <c r="R74" s="478">
        <v>220000</v>
      </c>
      <c r="S74" s="600">
        <v>80000</v>
      </c>
      <c r="T74" s="433">
        <f>+'råbalanceQ1 2023'!C304</f>
        <v>79798</v>
      </c>
      <c r="U74" s="433">
        <f t="shared" si="22"/>
        <v>-202</v>
      </c>
      <c r="V74" s="433">
        <f t="shared" si="36"/>
        <v>220000</v>
      </c>
      <c r="W74" s="433">
        <f t="shared" si="19"/>
        <v>0</v>
      </c>
    </row>
    <row r="75" spans="1:23">
      <c r="A75" s="365" t="s">
        <v>91</v>
      </c>
      <c r="B75" s="517">
        <v>37500</v>
      </c>
      <c r="C75" s="433">
        <v>0</v>
      </c>
      <c r="D75" s="433">
        <v>65000</v>
      </c>
      <c r="E75" s="433">
        <f>'Budget m. LL22'!Q74</f>
        <v>65000</v>
      </c>
      <c r="F75" s="527">
        <v>56250</v>
      </c>
      <c r="G75" s="433">
        <f t="shared" si="14"/>
        <v>-8750</v>
      </c>
      <c r="H75" s="433">
        <f t="shared" si="15"/>
        <v>-8750</v>
      </c>
      <c r="I75" s="478">
        <v>65000</v>
      </c>
      <c r="J75" s="431">
        <f>råbalance!F324</f>
        <v>37500</v>
      </c>
      <c r="K75" s="433">
        <f t="shared" si="16"/>
        <v>-27500</v>
      </c>
      <c r="L75" s="478">
        <v>65000</v>
      </c>
      <c r="M75" s="461">
        <f>+råbalance2022!C322</f>
        <v>65625</v>
      </c>
      <c r="N75" s="433">
        <f t="shared" si="17"/>
        <v>625</v>
      </c>
      <c r="O75" s="478">
        <v>65000</v>
      </c>
      <c r="P75" s="537">
        <v>65000</v>
      </c>
      <c r="Q75" s="433">
        <f t="shared" si="18"/>
        <v>0</v>
      </c>
      <c r="R75" s="478">
        <v>65000</v>
      </c>
      <c r="S75" s="600">
        <v>0</v>
      </c>
      <c r="T75" s="461">
        <v>0</v>
      </c>
      <c r="U75" s="433">
        <f t="shared" si="22"/>
        <v>0</v>
      </c>
      <c r="V75" s="433">
        <f t="shared" si="36"/>
        <v>65000</v>
      </c>
      <c r="W75" s="433">
        <f t="shared" si="19"/>
        <v>0</v>
      </c>
    </row>
    <row r="76" spans="1:23">
      <c r="A76" s="365" t="s">
        <v>92</v>
      </c>
      <c r="B76" s="517">
        <v>15105</v>
      </c>
      <c r="C76" s="433">
        <v>4049.29</v>
      </c>
      <c r="D76" s="433">
        <v>0</v>
      </c>
      <c r="E76" s="433">
        <f>'Budget m. LL22'!Q75</f>
        <v>5000</v>
      </c>
      <c r="F76" s="527">
        <v>4049</v>
      </c>
      <c r="G76" s="433">
        <f t="shared" si="14"/>
        <v>4049</v>
      </c>
      <c r="H76" s="433">
        <f t="shared" si="15"/>
        <v>-951</v>
      </c>
      <c r="I76" s="478">
        <v>0</v>
      </c>
      <c r="J76" s="563">
        <f>råbalance!F327</f>
        <v>24901</v>
      </c>
      <c r="K76" s="433">
        <f t="shared" si="16"/>
        <v>24901</v>
      </c>
      <c r="L76" s="478">
        <v>0</v>
      </c>
      <c r="M76" s="433">
        <f>+råbalance2022!C325</f>
        <v>47002.080000000002</v>
      </c>
      <c r="N76" s="433">
        <f t="shared" si="17"/>
        <v>47002.080000000002</v>
      </c>
      <c r="O76" s="478">
        <v>0</v>
      </c>
      <c r="P76" s="433">
        <v>0</v>
      </c>
      <c r="Q76" s="433">
        <f t="shared" si="18"/>
        <v>0</v>
      </c>
      <c r="R76" s="478">
        <v>25000</v>
      </c>
      <c r="S76" s="600">
        <v>0</v>
      </c>
      <c r="T76" s="433">
        <f>+'råbalanceQ1 2023'!C324</f>
        <v>0</v>
      </c>
      <c r="U76" s="433">
        <f t="shared" si="22"/>
        <v>0</v>
      </c>
      <c r="V76" s="433">
        <f t="shared" si="36"/>
        <v>25000</v>
      </c>
      <c r="W76" s="433">
        <f t="shared" si="19"/>
        <v>0</v>
      </c>
    </row>
    <row r="77" spans="1:23">
      <c r="A77" s="389" t="s">
        <v>93</v>
      </c>
      <c r="B77" s="517">
        <v>1128788</v>
      </c>
      <c r="C77" s="433">
        <v>843024.69</v>
      </c>
      <c r="D77" s="433">
        <v>1100000</v>
      </c>
      <c r="E77" s="433">
        <f>'Budget m. LL22'!Q76+'Budget m. LL22'!Q77</f>
        <v>1240000</v>
      </c>
      <c r="F77" s="527">
        <v>1087016</v>
      </c>
      <c r="G77" s="433">
        <f t="shared" si="14"/>
        <v>-12984</v>
      </c>
      <c r="H77" s="433">
        <f t="shared" si="15"/>
        <v>-152984</v>
      </c>
      <c r="I77" s="478">
        <v>1560000</v>
      </c>
      <c r="J77" s="563">
        <v>1383734</v>
      </c>
      <c r="K77" s="433">
        <f t="shared" si="16"/>
        <v>-176266</v>
      </c>
      <c r="L77" s="478">
        <v>1560000</v>
      </c>
      <c r="M77" s="433">
        <f>+råbalance2022!C319</f>
        <v>1564779.59</v>
      </c>
      <c r="N77" s="433">
        <f>M77-L77</f>
        <v>4779.5900000000838</v>
      </c>
      <c r="O77" s="478">
        <v>1560000</v>
      </c>
      <c r="P77" s="433">
        <v>1750000</v>
      </c>
      <c r="Q77" s="433">
        <f t="shared" si="18"/>
        <v>190000</v>
      </c>
      <c r="R77" s="478">
        <v>1050000</v>
      </c>
      <c r="S77" s="600">
        <f>R77/4</f>
        <v>262500</v>
      </c>
      <c r="T77" s="433">
        <f>+'råbalanceQ1 2023'!C319</f>
        <v>365251.81</v>
      </c>
      <c r="U77" s="433">
        <f t="shared" si="22"/>
        <v>102751.81</v>
      </c>
      <c r="V77" s="433">
        <f t="shared" si="36"/>
        <v>1050000</v>
      </c>
      <c r="W77" s="433">
        <f>V77-R77</f>
        <v>0</v>
      </c>
    </row>
    <row r="78" spans="1:23">
      <c r="A78" s="389" t="s">
        <v>2350</v>
      </c>
      <c r="B78" s="517"/>
      <c r="C78" s="433"/>
      <c r="D78" s="433"/>
      <c r="E78" s="433"/>
      <c r="F78" s="527"/>
      <c r="G78" s="433"/>
      <c r="H78" s="433"/>
      <c r="I78" s="478"/>
      <c r="J78" s="563"/>
      <c r="K78" s="433"/>
      <c r="L78" s="478">
        <v>0</v>
      </c>
      <c r="M78" s="389">
        <v>0</v>
      </c>
      <c r="N78" s="433">
        <f>M78-L78</f>
        <v>0</v>
      </c>
      <c r="O78" s="478"/>
      <c r="Q78" s="433">
        <f>P78-O78</f>
        <v>0</v>
      </c>
      <c r="R78" s="478">
        <v>873000</v>
      </c>
      <c r="S78" s="600">
        <v>0</v>
      </c>
      <c r="T78" s="389">
        <v>0</v>
      </c>
      <c r="U78" s="433">
        <f>T78-S78</f>
        <v>0</v>
      </c>
      <c r="V78" s="433">
        <f>R78</f>
        <v>873000</v>
      </c>
      <c r="W78" s="433">
        <f t="shared" si="19"/>
        <v>0</v>
      </c>
    </row>
    <row r="79" spans="1:23">
      <c r="A79" s="365" t="s">
        <v>95</v>
      </c>
      <c r="B79" s="517">
        <v>342900</v>
      </c>
      <c r="C79" s="433">
        <v>159662.85999999999</v>
      </c>
      <c r="D79" s="433">
        <v>300000</v>
      </c>
      <c r="E79" s="433">
        <f>'Budget m. LL22'!Q78</f>
        <v>350000</v>
      </c>
      <c r="F79" s="527">
        <v>420214</v>
      </c>
      <c r="G79" s="433">
        <f t="shared" si="14"/>
        <v>120214</v>
      </c>
      <c r="H79" s="433">
        <f t="shared" si="15"/>
        <v>70214</v>
      </c>
      <c r="I79" s="478">
        <v>300000</v>
      </c>
      <c r="J79" s="563">
        <f>råbalance!F293</f>
        <v>407831.7</v>
      </c>
      <c r="K79" s="433">
        <f t="shared" si="16"/>
        <v>107831.70000000001</v>
      </c>
      <c r="L79" s="478">
        <v>300000</v>
      </c>
      <c r="M79" s="433">
        <f>+råbalance2022!C291</f>
        <v>463574.72</v>
      </c>
      <c r="N79" s="433">
        <f t="shared" si="17"/>
        <v>163574.71999999997</v>
      </c>
      <c r="O79" s="478">
        <v>300000</v>
      </c>
      <c r="P79" s="433">
        <v>300000</v>
      </c>
      <c r="Q79" s="433">
        <f t="shared" si="18"/>
        <v>0</v>
      </c>
      <c r="R79" s="478">
        <v>300000</v>
      </c>
      <c r="S79" s="600">
        <f>R79/4</f>
        <v>75000</v>
      </c>
      <c r="T79" s="433">
        <f>+'råbalanceQ1 2023'!C291</f>
        <v>123542.72</v>
      </c>
      <c r="U79" s="433">
        <f t="shared" si="22"/>
        <v>48542.720000000001</v>
      </c>
      <c r="V79" s="433">
        <f t="shared" si="36"/>
        <v>300000</v>
      </c>
      <c r="W79" s="433">
        <f t="shared" si="19"/>
        <v>0</v>
      </c>
    </row>
    <row r="80" spans="1:23">
      <c r="A80" s="359" t="s">
        <v>96</v>
      </c>
      <c r="B80" s="518">
        <f>SUM(B73:B79)</f>
        <v>2097381</v>
      </c>
      <c r="C80" s="390">
        <f>SUM(C73:C79)</f>
        <v>1547341.1400000001</v>
      </c>
      <c r="D80" s="390">
        <f>SUM(D73:D79)</f>
        <v>2085000</v>
      </c>
      <c r="E80" s="390">
        <f>SUM(E73:E79)</f>
        <v>2290000</v>
      </c>
      <c r="F80" s="526">
        <f>SUM(F73:F79)</f>
        <v>2149084</v>
      </c>
      <c r="G80" s="390">
        <f t="shared" si="14"/>
        <v>64084</v>
      </c>
      <c r="H80" s="390">
        <f t="shared" si="15"/>
        <v>-140916</v>
      </c>
      <c r="I80" s="480">
        <f>SUM(I73:I79)</f>
        <v>2545000</v>
      </c>
      <c r="J80" s="421">
        <f>SUM(J73:J79)</f>
        <v>2347856.2400000002</v>
      </c>
      <c r="K80" s="433">
        <f t="shared" si="16"/>
        <v>-197143.75999999978</v>
      </c>
      <c r="L80" s="480">
        <v>2545000</v>
      </c>
      <c r="M80" s="390">
        <f>SUM(M73:M79)</f>
        <v>2716357.95</v>
      </c>
      <c r="N80" s="433">
        <f t="shared" si="17"/>
        <v>171357.95000000019</v>
      </c>
      <c r="O80" s="480">
        <v>2545000</v>
      </c>
      <c r="P80" s="390">
        <f>SUM(P73:P79)</f>
        <v>2735000</v>
      </c>
      <c r="Q80" s="433">
        <f t="shared" si="18"/>
        <v>190000</v>
      </c>
      <c r="R80" s="480">
        <f>SUM(R73:R79)</f>
        <v>2933000</v>
      </c>
      <c r="S80" s="601">
        <f>SUM(S73:S79)</f>
        <v>817500</v>
      </c>
      <c r="T80" s="390">
        <f>SUM(T73:T79)</f>
        <v>1220476.1599999999</v>
      </c>
      <c r="U80" s="578">
        <f t="shared" si="22"/>
        <v>402976.15999999992</v>
      </c>
      <c r="V80" s="390">
        <f>SUM(V73:V79)</f>
        <v>2933000</v>
      </c>
      <c r="W80" s="433">
        <f t="shared" si="19"/>
        <v>0</v>
      </c>
    </row>
    <row r="81" spans="1:23" ht="6" customHeight="1">
      <c r="A81" s="359"/>
      <c r="B81" s="518"/>
      <c r="C81" s="390"/>
      <c r="E81" s="390"/>
      <c r="F81" s="526"/>
      <c r="G81" s="433"/>
      <c r="H81" s="433"/>
      <c r="I81" s="480"/>
      <c r="J81" s="421"/>
      <c r="K81" s="433">
        <f t="shared" si="16"/>
        <v>0</v>
      </c>
      <c r="L81" s="480"/>
      <c r="M81" s="433"/>
      <c r="N81" s="433">
        <f t="shared" si="17"/>
        <v>0</v>
      </c>
      <c r="O81" s="480"/>
      <c r="P81" s="433"/>
      <c r="Q81" s="433">
        <f t="shared" si="18"/>
        <v>0</v>
      </c>
      <c r="R81" s="480"/>
      <c r="S81" s="601"/>
      <c r="T81" s="433"/>
      <c r="U81" s="433">
        <f t="shared" si="22"/>
        <v>0</v>
      </c>
      <c r="V81" s="433"/>
      <c r="W81" s="433"/>
    </row>
    <row r="82" spans="1:23">
      <c r="A82" s="359" t="s">
        <v>97</v>
      </c>
      <c r="B82" s="518">
        <v>23946</v>
      </c>
      <c r="C82" s="390">
        <v>20132.79</v>
      </c>
      <c r="D82" s="390">
        <v>25000</v>
      </c>
      <c r="E82" s="390">
        <f>'Budget m. LL22'!Q81</f>
        <v>25000</v>
      </c>
      <c r="F82" s="526">
        <v>24467</v>
      </c>
      <c r="G82" s="433">
        <f t="shared" si="14"/>
        <v>-533</v>
      </c>
      <c r="H82" s="433">
        <f t="shared" si="15"/>
        <v>-533</v>
      </c>
      <c r="I82" s="480">
        <f>'Budget m. LL22'!T81</f>
        <v>25000</v>
      </c>
      <c r="J82" s="564">
        <f>råbalance!F332</f>
        <v>25207.83</v>
      </c>
      <c r="K82" s="433">
        <f t="shared" si="16"/>
        <v>207.83000000000175</v>
      </c>
      <c r="L82" s="480">
        <v>25000</v>
      </c>
      <c r="M82" s="390">
        <v>98936</v>
      </c>
      <c r="N82" s="433">
        <f t="shared" si="17"/>
        <v>73936</v>
      </c>
      <c r="O82" s="480">
        <v>25000</v>
      </c>
      <c r="P82" s="390">
        <f>'[1]Budget m. LL22'!Z84</f>
        <v>0</v>
      </c>
      <c r="Q82" s="390">
        <f t="shared" si="18"/>
        <v>-25000</v>
      </c>
      <c r="R82" s="480">
        <v>25000</v>
      </c>
      <c r="S82" s="601">
        <v>25000</v>
      </c>
      <c r="T82" s="390">
        <f>+'råbalanceQ1 2023'!C331</f>
        <v>8436.4</v>
      </c>
      <c r="U82" s="433">
        <f t="shared" si="22"/>
        <v>-16563.599999999999</v>
      </c>
      <c r="V82" s="578">
        <f t="shared" ref="V82" si="37">R82</f>
        <v>25000</v>
      </c>
      <c r="W82" s="433">
        <f t="shared" si="19"/>
        <v>0</v>
      </c>
    </row>
    <row r="83" spans="1:23" ht="6" customHeight="1">
      <c r="A83" s="365"/>
      <c r="B83" s="517"/>
      <c r="C83" s="433"/>
      <c r="E83" s="433"/>
      <c r="F83" s="527"/>
      <c r="G83" s="433"/>
      <c r="H83" s="433"/>
      <c r="I83" s="478"/>
      <c r="J83" s="431"/>
      <c r="K83" s="433">
        <f t="shared" si="16"/>
        <v>0</v>
      </c>
      <c r="L83" s="478"/>
      <c r="M83" s="433"/>
      <c r="N83" s="433">
        <f t="shared" si="17"/>
        <v>0</v>
      </c>
      <c r="O83" s="478"/>
      <c r="P83" s="433"/>
      <c r="Q83" s="390"/>
      <c r="R83" s="478"/>
      <c r="S83" s="600"/>
      <c r="T83" s="433"/>
      <c r="U83" s="433">
        <f t="shared" si="22"/>
        <v>0</v>
      </c>
      <c r="V83" s="433"/>
      <c r="W83" s="433"/>
    </row>
    <row r="84" spans="1:23">
      <c r="A84" s="359" t="s">
        <v>98</v>
      </c>
      <c r="B84" s="518">
        <f>B82+B80+B71+B66+B59+B46+B37+B42</f>
        <v>16704535</v>
      </c>
      <c r="C84" s="390">
        <f>C82+C80+C71+C66+C59+C46+C37+C42</f>
        <v>14624058.369999999</v>
      </c>
      <c r="D84" s="390">
        <f>D82+D80+D71+D66+D59+D46+D37+D42</f>
        <v>16805000</v>
      </c>
      <c r="E84" s="390">
        <f>E82+E80+E71+E66+E59+E46+E37+E42</f>
        <v>18680049</v>
      </c>
      <c r="F84" s="526">
        <f>F82+F80+F71+F66+F59+F46+F37+F42</f>
        <v>18248542.940000001</v>
      </c>
      <c r="G84" s="390">
        <f t="shared" si="14"/>
        <v>1443542.9400000013</v>
      </c>
      <c r="H84" s="390">
        <f t="shared" si="15"/>
        <v>-431506.05999999866</v>
      </c>
      <c r="I84" s="480">
        <f>I82+I80+I71+I66+I59+I46+I37+I42</f>
        <v>19431428.571428571</v>
      </c>
      <c r="J84" s="421">
        <f>+J82+J80+J71+J66+J59+J46+J42+J37</f>
        <v>16730849.930000003</v>
      </c>
      <c r="K84" s="433">
        <f t="shared" si="16"/>
        <v>-2700578.6414285675</v>
      </c>
      <c r="L84" s="480">
        <v>17961428.571428571</v>
      </c>
      <c r="M84" s="390">
        <f>+M82+M80+M71+M66+M59+M46+M42+M37</f>
        <v>17483324.890000001</v>
      </c>
      <c r="N84" s="433">
        <f t="shared" si="17"/>
        <v>-478103.6814285703</v>
      </c>
      <c r="O84" s="480">
        <v>17961428.571428571</v>
      </c>
      <c r="P84" s="390">
        <f>P82+P80+P71+P66+P59+P46+P37+P42</f>
        <v>18223315.571428571</v>
      </c>
      <c r="Q84" s="390">
        <f t="shared" si="18"/>
        <v>261887</v>
      </c>
      <c r="R84" s="480">
        <f>+R82+R80+R71+R66+R59+R46+R42+R37</f>
        <v>18483000</v>
      </c>
      <c r="S84" s="601">
        <f>+S82+S80+S71+S66+S59+S46+S42+S37</f>
        <v>4723750</v>
      </c>
      <c r="T84" s="390">
        <f>+T82+T80+T71+T66+T59+T46+T42+T37</f>
        <v>6211997.2199999988</v>
      </c>
      <c r="U84" s="433">
        <f t="shared" si="22"/>
        <v>1488247.2199999988</v>
      </c>
      <c r="V84" s="390">
        <f>V37+V42+V46+V59+V66+V71+V80+V82</f>
        <v>18483000</v>
      </c>
      <c r="W84" s="433">
        <f t="shared" si="19"/>
        <v>0</v>
      </c>
    </row>
    <row r="85" spans="1:23" ht="6" customHeight="1">
      <c r="A85" s="359"/>
      <c r="B85" s="518"/>
      <c r="C85" s="390"/>
      <c r="D85" s="390"/>
      <c r="E85" s="390"/>
      <c r="F85" s="526"/>
      <c r="G85" s="433">
        <f t="shared" si="14"/>
        <v>0</v>
      </c>
      <c r="H85" s="433"/>
      <c r="I85" s="480"/>
      <c r="J85" s="421"/>
      <c r="K85" s="390"/>
      <c r="L85" s="480"/>
      <c r="M85" s="390"/>
      <c r="N85" s="433">
        <f t="shared" si="17"/>
        <v>0</v>
      </c>
      <c r="O85" s="480"/>
      <c r="P85" s="390"/>
      <c r="Q85" s="433"/>
      <c r="R85" s="480"/>
      <c r="S85" s="601"/>
      <c r="T85" s="390"/>
      <c r="U85" s="433">
        <f t="shared" si="22"/>
        <v>0</v>
      </c>
      <c r="V85" s="390"/>
      <c r="W85" s="461"/>
    </row>
    <row r="86" spans="1:23">
      <c r="A86" s="441" t="s">
        <v>99</v>
      </c>
      <c r="B86" s="520">
        <f>B30-B84</f>
        <v>1267957</v>
      </c>
      <c r="C86" s="453">
        <f>C30-C84</f>
        <v>-7040758.2299999986</v>
      </c>
      <c r="D86" s="453">
        <f>D30-D84</f>
        <v>195000</v>
      </c>
      <c r="E86" s="453">
        <f>E30-E84</f>
        <v>-1790633.7633333355</v>
      </c>
      <c r="F86" s="529">
        <f>F30-F84</f>
        <v>-2243062.4900000021</v>
      </c>
      <c r="G86" s="453">
        <f t="shared" si="14"/>
        <v>-2438062.4900000021</v>
      </c>
      <c r="H86" s="453">
        <f t="shared" si="15"/>
        <v>-452428.72666666657</v>
      </c>
      <c r="I86" s="484">
        <f>I30-I84</f>
        <v>-3131428.5714285709</v>
      </c>
      <c r="J86" s="557">
        <f>+J30-J84</f>
        <v>894012.91999999806</v>
      </c>
      <c r="K86" s="453">
        <f>J86-I86</f>
        <v>4025441.491428569</v>
      </c>
      <c r="L86" s="484">
        <v>-1287778.5714285709</v>
      </c>
      <c r="M86" s="453">
        <f>+M30-M84</f>
        <v>-4746397.7100000009</v>
      </c>
      <c r="N86" s="453">
        <f t="shared" si="17"/>
        <v>-3458619.13857143</v>
      </c>
      <c r="O86" s="484">
        <v>-1287778.5714285709</v>
      </c>
      <c r="P86" s="453">
        <f>P30-P84</f>
        <v>-2772159.5714285709</v>
      </c>
      <c r="Q86" s="453">
        <f t="shared" si="18"/>
        <v>-1484381</v>
      </c>
      <c r="R86" s="484">
        <f>+R30-R84</f>
        <v>332000</v>
      </c>
      <c r="S86" s="603">
        <f>+S30-S84</f>
        <v>-2588250</v>
      </c>
      <c r="T86" s="453">
        <f>+T30-T84</f>
        <v>-4138724.1599999992</v>
      </c>
      <c r="U86" s="615">
        <f>T86-S86</f>
        <v>-1550474.1599999992</v>
      </c>
      <c r="V86" s="453">
        <f>V30-V84</f>
        <v>-1089898</v>
      </c>
      <c r="W86" s="615">
        <f t="shared" si="19"/>
        <v>-1421898</v>
      </c>
    </row>
    <row r="87" spans="1:23" ht="6.75" customHeight="1">
      <c r="A87" s="365"/>
      <c r="B87" s="517"/>
      <c r="C87" s="433"/>
      <c r="D87" s="433"/>
      <c r="E87" s="433"/>
      <c r="F87" s="527"/>
      <c r="G87" s="433"/>
      <c r="H87" s="433"/>
      <c r="I87" s="478"/>
      <c r="J87" s="431"/>
      <c r="K87" s="433"/>
      <c r="L87" s="478"/>
      <c r="M87" s="433"/>
      <c r="N87" s="433"/>
      <c r="O87" s="478"/>
      <c r="P87" s="433"/>
      <c r="Q87" s="390">
        <f t="shared" si="18"/>
        <v>0</v>
      </c>
      <c r="R87" s="478"/>
      <c r="S87" s="600"/>
      <c r="T87" s="433"/>
      <c r="U87" s="433"/>
      <c r="V87" s="433"/>
    </row>
    <row r="88" spans="1:23">
      <c r="A88" s="389" t="s">
        <v>101</v>
      </c>
      <c r="B88" s="517">
        <v>-1938595</v>
      </c>
      <c r="C88" s="433">
        <f>-C23</f>
        <v>-385121.02</v>
      </c>
      <c r="D88" s="389">
        <v>0</v>
      </c>
      <c r="E88" s="433">
        <f>'Budget m. LL22'!Q87</f>
        <v>-400000</v>
      </c>
      <c r="F88" s="527">
        <f>F23*-1</f>
        <v>-447588</v>
      </c>
      <c r="G88" s="433">
        <f t="shared" si="14"/>
        <v>-447588</v>
      </c>
      <c r="H88" s="433">
        <f t="shared" si="15"/>
        <v>-47588</v>
      </c>
      <c r="I88" s="478">
        <f>'Budget m. LL22'!T87</f>
        <v>0</v>
      </c>
      <c r="J88" s="431">
        <f>J23*-1</f>
        <v>-956370</v>
      </c>
      <c r="K88" s="433">
        <f>J88-I88</f>
        <v>-956370</v>
      </c>
      <c r="L88" s="478">
        <v>0</v>
      </c>
      <c r="M88" s="433">
        <f>-råbalance2022!C336</f>
        <v>-368179.49</v>
      </c>
      <c r="N88" s="433"/>
      <c r="O88" s="478">
        <v>0</v>
      </c>
      <c r="P88" s="433">
        <f>P23</f>
        <v>25000</v>
      </c>
      <c r="Q88" s="433">
        <f t="shared" si="18"/>
        <v>25000</v>
      </c>
      <c r="R88" s="478">
        <v>-500000</v>
      </c>
      <c r="S88" s="600">
        <v>0</v>
      </c>
      <c r="T88" s="433">
        <f>-'råbalanceQ1 2023'!C334</f>
        <v>0</v>
      </c>
      <c r="U88" s="433"/>
      <c r="V88" s="433">
        <f>R88</f>
        <v>-500000</v>
      </c>
      <c r="W88" s="433">
        <f>V88-R88</f>
        <v>0</v>
      </c>
    </row>
    <row r="89" spans="1:23">
      <c r="A89" s="400" t="s">
        <v>1534</v>
      </c>
      <c r="B89" s="517"/>
      <c r="C89" s="433"/>
      <c r="D89" s="390"/>
      <c r="E89" s="433"/>
      <c r="F89" s="527"/>
      <c r="G89" s="433">
        <f t="shared" si="14"/>
        <v>0</v>
      </c>
      <c r="H89" s="433"/>
      <c r="I89" s="478"/>
      <c r="J89" s="431"/>
      <c r="K89" s="433"/>
      <c r="L89" s="478"/>
      <c r="M89" s="433"/>
      <c r="N89" s="433"/>
      <c r="O89" s="478"/>
      <c r="P89" s="433"/>
      <c r="Q89" s="433">
        <f t="shared" si="18"/>
        <v>0</v>
      </c>
      <c r="R89" s="478"/>
      <c r="S89" s="600"/>
      <c r="T89" s="433"/>
      <c r="U89" s="433"/>
      <c r="V89" s="433"/>
      <c r="W89" s="433"/>
    </row>
    <row r="90" spans="1:23">
      <c r="A90" s="389" t="s">
        <v>1535</v>
      </c>
      <c r="B90" s="517">
        <v>0</v>
      </c>
      <c r="C90" s="433">
        <v>0</v>
      </c>
      <c r="D90" s="433">
        <v>0</v>
      </c>
      <c r="E90" s="433">
        <v>0</v>
      </c>
      <c r="F90" s="527">
        <f>E90</f>
        <v>0</v>
      </c>
      <c r="G90" s="433">
        <f t="shared" si="14"/>
        <v>0</v>
      </c>
      <c r="H90" s="433"/>
      <c r="I90" s="478">
        <f>I110</f>
        <v>1215000</v>
      </c>
      <c r="J90" s="431">
        <f>J45</f>
        <v>884163.88</v>
      </c>
      <c r="K90" s="433">
        <f>J90-I90</f>
        <v>-330836.12</v>
      </c>
      <c r="L90" s="478">
        <v>1530000</v>
      </c>
      <c r="M90" s="433">
        <v>1099760</v>
      </c>
      <c r="N90" s="433"/>
      <c r="O90" s="478">
        <v>1530000</v>
      </c>
      <c r="P90" s="433">
        <f>P45</f>
        <v>1785836</v>
      </c>
      <c r="Q90" s="433">
        <f>O90-P90</f>
        <v>-255836</v>
      </c>
      <c r="R90" s="478">
        <v>1405000</v>
      </c>
      <c r="S90" s="600">
        <v>0</v>
      </c>
      <c r="T90" s="433">
        <v>0</v>
      </c>
      <c r="U90" s="433">
        <f>T90-S90</f>
        <v>0</v>
      </c>
      <c r="V90" s="433">
        <f>R90</f>
        <v>1405000</v>
      </c>
      <c r="W90" s="433">
        <f>V90-R90</f>
        <v>0</v>
      </c>
    </row>
    <row r="91" spans="1:23">
      <c r="A91" s="389" t="s">
        <v>104</v>
      </c>
      <c r="B91" s="517">
        <v>0</v>
      </c>
      <c r="C91" s="433">
        <v>0</v>
      </c>
      <c r="D91" s="433">
        <v>0</v>
      </c>
      <c r="E91" s="433">
        <f>'Budget m. LL22'!Q90</f>
        <v>250000</v>
      </c>
      <c r="F91" s="527">
        <v>91051</v>
      </c>
      <c r="G91" s="433">
        <f t="shared" si="14"/>
        <v>91051</v>
      </c>
      <c r="H91" s="433">
        <f>F91-E91</f>
        <v>-158949</v>
      </c>
      <c r="I91" s="478">
        <f>'Budget m. LL22'!T90</f>
        <v>361428.57142857142</v>
      </c>
      <c r="J91" s="431">
        <f>F91</f>
        <v>91051</v>
      </c>
      <c r="K91" s="433">
        <f>J91-I91</f>
        <v>-270377.57142857142</v>
      </c>
      <c r="L91" s="478">
        <v>381428.57142857142</v>
      </c>
      <c r="M91" s="433">
        <f>-råbalance2022!C340</f>
        <v>95463.679999999993</v>
      </c>
      <c r="N91" s="433"/>
      <c r="O91" s="478">
        <v>381428.57142857142</v>
      </c>
      <c r="P91" s="433">
        <f>P65</f>
        <v>91051</v>
      </c>
      <c r="Q91" s="433">
        <f>O91-P91</f>
        <v>290377.57142857142</v>
      </c>
      <c r="R91" s="478">
        <v>108000</v>
      </c>
      <c r="S91" s="600">
        <f>R91/2</f>
        <v>54000</v>
      </c>
      <c r="T91" s="433">
        <f>-'råbalanceQ1 2023'!C340</f>
        <v>27220.52</v>
      </c>
      <c r="U91" s="433">
        <f t="shared" ref="U91" si="38">T91-S91</f>
        <v>-26779.48</v>
      </c>
      <c r="V91" s="433">
        <f t="shared" ref="V91" si="39">R91</f>
        <v>108000</v>
      </c>
      <c r="W91" s="433">
        <f t="shared" ref="W91" si="40">V91-R91</f>
        <v>0</v>
      </c>
    </row>
    <row r="92" spans="1:23">
      <c r="A92" s="359" t="s">
        <v>105</v>
      </c>
      <c r="B92" s="518">
        <f>SUM(B88:B91)</f>
        <v>-1938595</v>
      </c>
      <c r="C92" s="390">
        <f>SUM(C88:C91)</f>
        <v>-385121.02</v>
      </c>
      <c r="D92" s="390">
        <f>SUM(D88:D91)</f>
        <v>0</v>
      </c>
      <c r="E92" s="390">
        <f>SUM(E88:E91)</f>
        <v>-150000</v>
      </c>
      <c r="F92" s="526">
        <f>SUM(F88:F91)</f>
        <v>-356537</v>
      </c>
      <c r="G92" s="390">
        <f t="shared" si="14"/>
        <v>-356537</v>
      </c>
      <c r="H92" s="390">
        <f>F92-E92</f>
        <v>-206537</v>
      </c>
      <c r="I92" s="480">
        <f>SUM(I88:I91)</f>
        <v>1576428.5714285714</v>
      </c>
      <c r="J92" s="421">
        <f>SUM(J88:J91)</f>
        <v>18844.880000000005</v>
      </c>
      <c r="K92" s="433">
        <f>J92-I92</f>
        <v>-1557583.6914285715</v>
      </c>
      <c r="L92" s="480">
        <v>1911428.57142857</v>
      </c>
      <c r="M92" s="433">
        <f>SUM(M88:M91)</f>
        <v>827044.19</v>
      </c>
      <c r="N92" s="433"/>
      <c r="O92" s="480">
        <v>1911428.57142857</v>
      </c>
      <c r="P92" s="433">
        <f>SUM(P88:P91)</f>
        <v>1901887</v>
      </c>
      <c r="Q92" s="433">
        <f t="shared" ref="Q92:Q96" si="41">O92-P92</f>
        <v>9541.5714285699651</v>
      </c>
      <c r="R92" s="480">
        <f>+R88+R90+R91</f>
        <v>1013000</v>
      </c>
      <c r="S92" s="601">
        <f>+S88+S90+S91</f>
        <v>54000</v>
      </c>
      <c r="T92" s="578">
        <f>+T88+T90+T91</f>
        <v>27220.52</v>
      </c>
      <c r="U92" s="578">
        <f>SUM(U90:U91)</f>
        <v>-26779.48</v>
      </c>
      <c r="V92" s="578">
        <f>SUM(V88:V91)</f>
        <v>1013000</v>
      </c>
      <c r="W92" s="578">
        <f>V92-R92</f>
        <v>0</v>
      </c>
    </row>
    <row r="93" spans="1:23">
      <c r="A93" s="365"/>
      <c r="B93" s="521"/>
      <c r="C93" s="365"/>
      <c r="D93" s="433"/>
      <c r="E93" s="365"/>
      <c r="F93" s="530"/>
      <c r="G93" s="433"/>
      <c r="H93" s="433"/>
      <c r="I93" s="481"/>
      <c r="J93" s="431"/>
      <c r="K93" s="433"/>
      <c r="L93" s="481"/>
      <c r="M93" s="433"/>
      <c r="N93" s="433"/>
      <c r="O93" s="481"/>
      <c r="P93" s="433"/>
      <c r="Q93" s="433">
        <f t="shared" si="41"/>
        <v>0</v>
      </c>
      <c r="R93" s="481"/>
      <c r="S93" s="604"/>
      <c r="T93" s="433"/>
      <c r="U93" s="433"/>
      <c r="V93" s="433"/>
      <c r="W93" s="433"/>
    </row>
    <row r="94" spans="1:23">
      <c r="A94" s="365" t="s">
        <v>1536</v>
      </c>
      <c r="B94" s="521"/>
      <c r="C94" s="365"/>
      <c r="D94" s="433"/>
      <c r="E94" s="365"/>
      <c r="F94" s="530"/>
      <c r="G94" s="433"/>
      <c r="H94" s="433"/>
      <c r="I94" s="481"/>
      <c r="J94" s="431"/>
      <c r="K94" s="433"/>
      <c r="L94" s="481">
        <v>0</v>
      </c>
      <c r="M94" s="433">
        <v>-2115000</v>
      </c>
      <c r="N94" s="433"/>
      <c r="O94" s="481"/>
      <c r="P94" s="433"/>
      <c r="Q94" s="433"/>
      <c r="R94" s="481"/>
      <c r="S94" s="604"/>
      <c r="T94" s="433"/>
      <c r="U94" s="433"/>
      <c r="V94" s="433"/>
      <c r="W94" s="433"/>
    </row>
    <row r="95" spans="1:23">
      <c r="A95" s="365"/>
      <c r="B95" s="521"/>
      <c r="C95" s="365"/>
      <c r="D95" s="433"/>
      <c r="E95" s="365"/>
      <c r="F95" s="530"/>
      <c r="G95" s="433"/>
      <c r="H95" s="433"/>
      <c r="I95" s="481"/>
      <c r="J95" s="431"/>
      <c r="K95" s="433"/>
      <c r="L95" s="481"/>
      <c r="M95" s="433"/>
      <c r="N95" s="433"/>
      <c r="O95" s="481"/>
      <c r="P95" s="433"/>
      <c r="Q95" s="433"/>
      <c r="R95" s="481"/>
      <c r="S95" s="604"/>
      <c r="T95" s="433"/>
      <c r="U95" s="433"/>
      <c r="V95" s="433"/>
      <c r="W95" s="433"/>
    </row>
    <row r="96" spans="1:23" ht="17" thickBot="1">
      <c r="A96" s="567" t="s">
        <v>106</v>
      </c>
      <c r="B96" s="522">
        <f>+B86+B92</f>
        <v>-670638</v>
      </c>
      <c r="C96" s="476">
        <f>+C86+C92</f>
        <v>-7425879.2499999981</v>
      </c>
      <c r="D96" s="476">
        <f>+D86+D92</f>
        <v>195000</v>
      </c>
      <c r="E96" s="476">
        <f>+E86+E92</f>
        <v>-1940633.7633333355</v>
      </c>
      <c r="F96" s="531">
        <f>+F86+F92</f>
        <v>-2599599.4900000021</v>
      </c>
      <c r="G96" s="476">
        <f>F96-D96</f>
        <v>-2794599.4900000021</v>
      </c>
      <c r="H96" s="476">
        <f>F96-E96</f>
        <v>-658965.72666666657</v>
      </c>
      <c r="I96" s="482">
        <f>+I86+I92</f>
        <v>-1554999.9999999995</v>
      </c>
      <c r="J96" s="558">
        <f>+J86+J92</f>
        <v>912857.79999999807</v>
      </c>
      <c r="K96" s="476">
        <f>J96-I96</f>
        <v>2467857.7999999975</v>
      </c>
      <c r="L96" s="482">
        <v>623650</v>
      </c>
      <c r="M96" s="476">
        <f>+M86+M92+M94</f>
        <v>-6034353.5200000014</v>
      </c>
      <c r="N96" s="476"/>
      <c r="O96" s="482">
        <v>623650</v>
      </c>
      <c r="P96" s="476">
        <f>+P86+P92</f>
        <v>-870272.5714285709</v>
      </c>
      <c r="Q96" s="476">
        <f t="shared" si="41"/>
        <v>1493922.5714285709</v>
      </c>
      <c r="R96" s="482">
        <f>+R86+R92</f>
        <v>1345000</v>
      </c>
      <c r="S96" s="605">
        <f>+S86+S92</f>
        <v>-2534250</v>
      </c>
      <c r="T96" s="476">
        <f>+T86+T92</f>
        <v>-4111503.6399999992</v>
      </c>
      <c r="U96" s="612">
        <f>+U86+U92</f>
        <v>-1577253.6399999992</v>
      </c>
      <c r="V96" s="612">
        <f t="shared" ref="V96" si="42">+V86+V92</f>
        <v>-76898</v>
      </c>
      <c r="W96" s="612">
        <f>+W86+W92</f>
        <v>-1421898</v>
      </c>
    </row>
    <row r="97" spans="1:23" ht="6.75" customHeight="1" thickTop="1">
      <c r="A97" s="359"/>
      <c r="B97" s="518"/>
      <c r="C97" s="390"/>
      <c r="D97" s="390"/>
      <c r="E97" s="390"/>
      <c r="F97" s="526"/>
      <c r="G97" s="433"/>
      <c r="H97" s="433"/>
      <c r="I97" s="480"/>
      <c r="J97" s="421"/>
      <c r="K97" s="390"/>
      <c r="L97" s="480"/>
      <c r="M97" s="390"/>
      <c r="N97" s="390"/>
      <c r="O97" s="480"/>
      <c r="P97" s="390"/>
      <c r="Q97" s="433">
        <f t="shared" si="18"/>
        <v>0</v>
      </c>
      <c r="R97" s="480"/>
      <c r="S97" s="601"/>
      <c r="T97" s="390"/>
      <c r="U97" s="578"/>
      <c r="V97" s="578"/>
      <c r="W97" s="613"/>
    </row>
    <row r="98" spans="1:23">
      <c r="A98" s="359" t="s">
        <v>107</v>
      </c>
      <c r="B98" s="518"/>
      <c r="C98" s="390"/>
      <c r="D98" s="365"/>
      <c r="E98" s="390"/>
      <c r="F98" s="526"/>
      <c r="G98" s="433"/>
      <c r="H98" s="433"/>
      <c r="I98" s="480"/>
      <c r="J98" s="421"/>
      <c r="K98" s="390"/>
      <c r="L98" s="480"/>
      <c r="M98" s="390"/>
      <c r="N98" s="390"/>
      <c r="O98" s="480"/>
      <c r="P98" s="390"/>
      <c r="Q98" s="433">
        <f t="shared" si="18"/>
        <v>0</v>
      </c>
      <c r="R98" s="480"/>
      <c r="S98" s="601"/>
      <c r="T98" s="390"/>
      <c r="U98" s="390"/>
      <c r="V98" s="390"/>
    </row>
    <row r="99" spans="1:23">
      <c r="A99" s="365" t="s">
        <v>108</v>
      </c>
      <c r="B99" s="517">
        <f>B96-B100</f>
        <v>-801634</v>
      </c>
      <c r="C99" s="433">
        <f>C96-C100</f>
        <v>-7425879.2499999981</v>
      </c>
      <c r="D99" s="433">
        <f t="shared" ref="D99:I99" si="43">D96-D100</f>
        <v>-305000</v>
      </c>
      <c r="E99" s="433">
        <f t="shared" si="43"/>
        <v>-1690633.7633333355</v>
      </c>
      <c r="F99" s="527">
        <v>-1935026.94</v>
      </c>
      <c r="G99" s="433">
        <f>F99-D99</f>
        <v>-1630026.94</v>
      </c>
      <c r="H99" s="433">
        <f>F99-E99</f>
        <v>-244393.17666666443</v>
      </c>
      <c r="I99" s="478">
        <f t="shared" si="43"/>
        <v>-1704999.9999999995</v>
      </c>
      <c r="J99" s="431">
        <f>+J96</f>
        <v>912857.79999999807</v>
      </c>
      <c r="K99" s="390">
        <f t="shared" ref="K99:K101" si="44">J99-I99</f>
        <v>2617857.7999999975</v>
      </c>
      <c r="L99" s="478">
        <v>-599999.99999999953</v>
      </c>
      <c r="M99" s="390">
        <f>+M96</f>
        <v>-6034353.5200000014</v>
      </c>
      <c r="N99" s="390"/>
      <c r="O99" s="478">
        <v>-599999.99999999953</v>
      </c>
      <c r="P99" s="390">
        <f>P96-P100</f>
        <v>-870272.5714285709</v>
      </c>
      <c r="Q99" s="433">
        <f t="shared" si="18"/>
        <v>-270272.57142857136</v>
      </c>
      <c r="R99" s="478">
        <v>1095000</v>
      </c>
      <c r="S99" s="600">
        <f>+S96</f>
        <v>-2534250</v>
      </c>
      <c r="T99" s="390">
        <f>+T96</f>
        <v>-4111503.6399999992</v>
      </c>
      <c r="U99" s="390"/>
      <c r="V99" s="390"/>
    </row>
    <row r="100" spans="1:23" ht="34">
      <c r="A100" s="470" t="s">
        <v>1537</v>
      </c>
      <c r="B100" s="517">
        <f>B20</f>
        <v>130996</v>
      </c>
      <c r="C100" s="433">
        <f>C20</f>
        <v>0</v>
      </c>
      <c r="D100" s="433">
        <f>D20</f>
        <v>500000</v>
      </c>
      <c r="E100" s="433">
        <f>E20</f>
        <v>-250000</v>
      </c>
      <c r="F100" s="527">
        <v>-684572</v>
      </c>
      <c r="G100" s="433">
        <f>F100-D100</f>
        <v>-1184572</v>
      </c>
      <c r="H100" s="433">
        <f t="shared" ref="H100:H101" si="45">F100-E100</f>
        <v>-434572</v>
      </c>
      <c r="I100" s="478">
        <f>I20</f>
        <v>150000</v>
      </c>
      <c r="J100" s="431">
        <v>0</v>
      </c>
      <c r="K100" s="390">
        <f t="shared" si="44"/>
        <v>-150000</v>
      </c>
      <c r="L100" s="478">
        <v>1223650</v>
      </c>
      <c r="M100" s="390">
        <v>0</v>
      </c>
      <c r="N100" s="390"/>
      <c r="O100" s="478">
        <v>1223650</v>
      </c>
      <c r="P100" s="390">
        <f>P20</f>
        <v>0</v>
      </c>
      <c r="Q100" s="433">
        <f t="shared" si="18"/>
        <v>-1223650</v>
      </c>
      <c r="R100" s="587">
        <v>250000</v>
      </c>
      <c r="S100" s="602">
        <v>0</v>
      </c>
      <c r="T100" s="390"/>
      <c r="U100" s="390"/>
      <c r="V100" s="390"/>
    </row>
    <row r="101" spans="1:23">
      <c r="A101" s="441" t="s">
        <v>110</v>
      </c>
      <c r="B101" s="520">
        <f>SUM(B99:B100)</f>
        <v>-670638</v>
      </c>
      <c r="C101" s="453">
        <f>SUM(C99:C100)</f>
        <v>-7425879.2499999981</v>
      </c>
      <c r="D101" s="453">
        <f t="shared" ref="D101:I101" si="46">SUM(D99:D100)</f>
        <v>195000</v>
      </c>
      <c r="E101" s="453">
        <f t="shared" si="46"/>
        <v>-1940633.7633333355</v>
      </c>
      <c r="F101" s="529">
        <f t="shared" ref="F101" si="47">SUM(F99:F100)</f>
        <v>-2619598.94</v>
      </c>
      <c r="G101" s="453">
        <f t="shared" si="14"/>
        <v>-2814598.94</v>
      </c>
      <c r="H101" s="453">
        <f t="shared" si="45"/>
        <v>-678965.17666666443</v>
      </c>
      <c r="I101" s="484">
        <f t="shared" si="46"/>
        <v>-1554999.9999999995</v>
      </c>
      <c r="J101" s="557">
        <f>+J99</f>
        <v>912857.79999999807</v>
      </c>
      <c r="K101" s="453">
        <f t="shared" si="44"/>
        <v>2467857.7999999975</v>
      </c>
      <c r="L101" s="484">
        <v>623650.00000000047</v>
      </c>
      <c r="M101" s="453">
        <f>+M91+M88+M86+M90+M94</f>
        <v>-6034353.5200000005</v>
      </c>
      <c r="N101" s="453"/>
      <c r="O101" s="484">
        <v>623650.00000000047</v>
      </c>
      <c r="P101" s="453">
        <f t="shared" ref="P101" si="48">SUM(P99:P100)</f>
        <v>-870272.5714285709</v>
      </c>
      <c r="Q101" s="453">
        <f t="shared" si="18"/>
        <v>-1493922.5714285714</v>
      </c>
      <c r="R101" s="484"/>
      <c r="S101" s="603"/>
      <c r="T101" s="453"/>
      <c r="U101" s="453"/>
      <c r="V101" s="453"/>
    </row>
    <row r="102" spans="1:23">
      <c r="A102" s="359"/>
      <c r="B102" s="390"/>
      <c r="C102" s="390"/>
      <c r="D102" s="390"/>
      <c r="E102" s="390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R102" s="390"/>
      <c r="S102" s="390"/>
      <c r="T102" s="390"/>
      <c r="U102" s="390"/>
      <c r="V102" s="390"/>
    </row>
    <row r="103" spans="1:23" ht="16.5" customHeight="1">
      <c r="A103" s="487"/>
      <c r="B103" s="390"/>
      <c r="C103" s="390"/>
      <c r="D103" s="390"/>
      <c r="E103" s="390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R103" s="390"/>
      <c r="S103" s="390"/>
      <c r="T103" s="390"/>
      <c r="U103" s="390"/>
      <c r="V103" s="390"/>
    </row>
    <row r="104" spans="1:23" ht="35" hidden="1" thickBot="1">
      <c r="A104" s="462" t="s">
        <v>111</v>
      </c>
      <c r="B104" s="418" t="s">
        <v>1481</v>
      </c>
      <c r="C104" s="418"/>
      <c r="D104" s="418"/>
      <c r="E104" s="514" t="s">
        <v>1510</v>
      </c>
      <c r="F104" s="514" t="s">
        <v>1511</v>
      </c>
      <c r="G104" s="514"/>
      <c r="H104" s="514" t="s">
        <v>1538</v>
      </c>
      <c r="I104" s="418"/>
      <c r="J104" s="418"/>
      <c r="K104" s="418"/>
      <c r="L104" s="418"/>
      <c r="M104" s="390"/>
      <c r="N104" s="390"/>
      <c r="O104" s="418"/>
      <c r="P104" s="390"/>
      <c r="R104" s="418"/>
      <c r="S104" s="390"/>
      <c r="T104" s="390"/>
      <c r="U104" s="390"/>
      <c r="V104" s="390"/>
    </row>
    <row r="105" spans="1:23" hidden="1">
      <c r="A105" s="420"/>
      <c r="B105" s="488">
        <v>2019</v>
      </c>
      <c r="C105" s="488"/>
      <c r="D105" s="489"/>
      <c r="E105" s="489">
        <v>2020</v>
      </c>
      <c r="F105" s="489">
        <f>E105</f>
        <v>2020</v>
      </c>
      <c r="G105" s="489"/>
      <c r="H105" s="489"/>
      <c r="I105" s="488">
        <v>2021</v>
      </c>
      <c r="J105" s="547"/>
      <c r="K105" s="488"/>
      <c r="L105" s="488"/>
      <c r="M105" s="488"/>
      <c r="N105" s="488"/>
      <c r="O105" s="488"/>
      <c r="P105" s="488"/>
      <c r="R105" s="488"/>
      <c r="S105" s="488"/>
      <c r="T105" s="488"/>
      <c r="U105" s="488"/>
      <c r="V105" s="488"/>
    </row>
    <row r="106" spans="1:23" hidden="1">
      <c r="A106" s="359" t="s">
        <v>103</v>
      </c>
      <c r="B106" s="473"/>
      <c r="C106" s="473"/>
      <c r="D106" s="451"/>
      <c r="E106" s="451"/>
      <c r="F106" s="451"/>
      <c r="G106" s="451"/>
      <c r="H106" s="451"/>
      <c r="I106" s="479"/>
      <c r="J106" s="548"/>
      <c r="K106" s="479"/>
      <c r="L106" s="479"/>
      <c r="M106" s="479"/>
      <c r="N106" s="479"/>
      <c r="O106" s="479"/>
      <c r="P106" s="479"/>
      <c r="R106" s="479"/>
      <c r="S106" s="479"/>
      <c r="T106" s="479"/>
      <c r="U106" s="479"/>
      <c r="V106" s="479"/>
    </row>
    <row r="107" spans="1:23" hidden="1">
      <c r="A107" s="365" t="s">
        <v>1539</v>
      </c>
      <c r="B107" s="390">
        <v>3143578</v>
      </c>
      <c r="C107" s="390"/>
      <c r="D107" s="390"/>
      <c r="E107" s="390">
        <f>B112</f>
        <v>4555184</v>
      </c>
      <c r="F107" s="390">
        <f>E107</f>
        <v>4555184</v>
      </c>
      <c r="G107" s="390"/>
      <c r="H107" s="390">
        <f t="shared" ref="H107:H112" si="49">F107-E107</f>
        <v>0</v>
      </c>
      <c r="I107" s="480">
        <f>F112</f>
        <v>4661339</v>
      </c>
      <c r="J107" s="480">
        <v>4661339</v>
      </c>
      <c r="K107" s="480"/>
      <c r="L107" s="480"/>
      <c r="M107" s="480"/>
      <c r="N107" s="480"/>
      <c r="O107" s="480"/>
      <c r="P107" s="480"/>
      <c r="R107" s="480"/>
      <c r="S107" s="480"/>
      <c r="T107" s="480"/>
      <c r="U107" s="480"/>
      <c r="V107" s="480"/>
    </row>
    <row r="108" spans="1:23" hidden="1">
      <c r="A108" s="365" t="s">
        <v>113</v>
      </c>
      <c r="B108" s="433">
        <f>-B88</f>
        <v>1938595</v>
      </c>
      <c r="C108" s="433"/>
      <c r="D108" s="433"/>
      <c r="E108" s="433">
        <f>-E88</f>
        <v>400000</v>
      </c>
      <c r="F108" s="433">
        <f>F23</f>
        <v>447588</v>
      </c>
      <c r="G108" s="433"/>
      <c r="H108" s="390">
        <f t="shared" si="49"/>
        <v>47588</v>
      </c>
      <c r="I108" s="478">
        <f t="shared" ref="I108" si="50">-I88</f>
        <v>0</v>
      </c>
      <c r="J108" s="478">
        <v>950594</v>
      </c>
      <c r="K108" s="478"/>
      <c r="L108" s="478"/>
      <c r="M108" s="478"/>
      <c r="N108" s="478"/>
      <c r="O108" s="478"/>
      <c r="P108" s="478"/>
      <c r="R108" s="478"/>
      <c r="S108" s="478"/>
      <c r="T108" s="478"/>
      <c r="U108" s="478"/>
      <c r="V108" s="478"/>
    </row>
    <row r="109" spans="1:23" hidden="1">
      <c r="A109" s="359" t="s">
        <v>1540</v>
      </c>
      <c r="B109" s="463">
        <f>B107+B108</f>
        <v>5082173</v>
      </c>
      <c r="C109" s="463"/>
      <c r="D109" s="463"/>
      <c r="E109" s="463">
        <f>E107+E108</f>
        <v>4955184</v>
      </c>
      <c r="F109" s="463">
        <f>F107+F108</f>
        <v>5002772</v>
      </c>
      <c r="G109" s="463"/>
      <c r="H109" s="390">
        <f t="shared" si="49"/>
        <v>47588</v>
      </c>
      <c r="I109" s="483">
        <f t="shared" ref="I109" si="51">I107+I108</f>
        <v>4661339</v>
      </c>
      <c r="J109" s="483">
        <f>+J107+J108</f>
        <v>5611933</v>
      </c>
      <c r="K109" s="483"/>
      <c r="L109" s="483"/>
      <c r="M109" s="483"/>
      <c r="N109" s="483"/>
      <c r="O109" s="483"/>
      <c r="P109" s="483"/>
      <c r="R109" s="483"/>
      <c r="S109" s="483"/>
      <c r="T109" s="483"/>
      <c r="U109" s="483"/>
      <c r="V109" s="483"/>
    </row>
    <row r="110" spans="1:23" ht="33.75" hidden="1" customHeight="1">
      <c r="A110" s="470" t="s">
        <v>115</v>
      </c>
      <c r="B110" s="461">
        <v>0</v>
      </c>
      <c r="C110" s="461"/>
      <c r="D110" s="461"/>
      <c r="E110" s="461">
        <v>0</v>
      </c>
      <c r="F110" s="461"/>
      <c r="G110" s="461"/>
      <c r="H110" s="390">
        <f t="shared" si="49"/>
        <v>0</v>
      </c>
      <c r="I110" s="478">
        <f>'Budget m. LL22'!T107</f>
        <v>1215000</v>
      </c>
      <c r="J110" s="478">
        <v>-26362</v>
      </c>
      <c r="K110" s="478"/>
      <c r="L110" s="478"/>
      <c r="M110" s="478"/>
      <c r="N110" s="478"/>
      <c r="O110" s="478"/>
      <c r="P110" s="478"/>
      <c r="R110" s="478"/>
      <c r="S110" s="478"/>
      <c r="T110" s="478"/>
      <c r="U110" s="478"/>
      <c r="V110" s="478"/>
    </row>
    <row r="111" spans="1:23" hidden="1">
      <c r="A111" s="359" t="s">
        <v>1541</v>
      </c>
      <c r="B111" s="390">
        <f>93340+103030+255619+75000</f>
        <v>526989</v>
      </c>
      <c r="C111" s="390"/>
      <c r="D111" s="390"/>
      <c r="E111" s="390">
        <f>'Budget m. LL22'!Q108</f>
        <v>400000</v>
      </c>
      <c r="F111" s="390">
        <v>341433</v>
      </c>
      <c r="G111" s="390"/>
      <c r="H111" s="390">
        <f t="shared" si="49"/>
        <v>-58567</v>
      </c>
      <c r="I111" s="480">
        <f>'Budget m. LL22'!T108</f>
        <v>1215000</v>
      </c>
      <c r="J111" s="480"/>
      <c r="K111" s="480"/>
      <c r="L111" s="480"/>
      <c r="M111" s="480"/>
      <c r="N111" s="480"/>
      <c r="O111" s="480"/>
      <c r="P111" s="480"/>
      <c r="R111" s="480"/>
      <c r="S111" s="480"/>
      <c r="T111" s="480"/>
      <c r="U111" s="480"/>
      <c r="V111" s="480"/>
    </row>
    <row r="112" spans="1:23" hidden="1">
      <c r="A112" s="441" t="s">
        <v>118</v>
      </c>
      <c r="B112" s="453">
        <f>B109-B111</f>
        <v>4555184</v>
      </c>
      <c r="C112" s="453"/>
      <c r="D112" s="453"/>
      <c r="E112" s="453">
        <f>E109-E111</f>
        <v>4555184</v>
      </c>
      <c r="F112" s="453">
        <f>F109-F111</f>
        <v>4661339</v>
      </c>
      <c r="G112" s="453"/>
      <c r="H112" s="453">
        <f t="shared" si="49"/>
        <v>106155</v>
      </c>
      <c r="I112" s="484">
        <f t="shared" ref="I112" si="52">I109-I111</f>
        <v>3446339</v>
      </c>
      <c r="J112" s="484">
        <f>+J109+J110</f>
        <v>5585571</v>
      </c>
      <c r="K112" s="484"/>
      <c r="L112" s="484"/>
      <c r="M112" s="480"/>
      <c r="N112" s="480"/>
      <c r="O112" s="484"/>
      <c r="P112" s="480"/>
      <c r="R112" s="484"/>
      <c r="S112" s="480"/>
      <c r="T112" s="480"/>
      <c r="U112" s="480"/>
      <c r="V112" s="480"/>
    </row>
    <row r="113" spans="1:22" ht="6" hidden="1" customHeight="1">
      <c r="A113" s="359"/>
      <c r="B113" s="390"/>
      <c r="C113" s="390"/>
      <c r="D113" s="390"/>
      <c r="E113" s="390"/>
      <c r="F113" s="390"/>
      <c r="G113" s="390"/>
      <c r="H113" s="390"/>
      <c r="I113" s="458"/>
      <c r="J113" s="458"/>
      <c r="K113" s="458"/>
      <c r="L113" s="458"/>
      <c r="M113" s="390"/>
      <c r="N113" s="390"/>
      <c r="O113" s="458"/>
      <c r="P113" s="390"/>
      <c r="R113" s="458"/>
      <c r="S113" s="390"/>
      <c r="T113" s="390"/>
      <c r="U113" s="390"/>
      <c r="V113" s="390"/>
    </row>
    <row r="114" spans="1:22" hidden="1">
      <c r="A114" s="420"/>
      <c r="B114" s="488">
        <v>2019</v>
      </c>
      <c r="C114" s="488"/>
      <c r="D114" s="489"/>
      <c r="E114" s="489">
        <v>2020</v>
      </c>
      <c r="F114" s="489"/>
      <c r="G114" s="489"/>
      <c r="H114" s="489"/>
      <c r="I114" s="488">
        <v>2021</v>
      </c>
      <c r="J114" s="547"/>
      <c r="K114" s="488"/>
      <c r="L114" s="488"/>
      <c r="M114" s="488"/>
      <c r="N114" s="488"/>
      <c r="O114" s="488"/>
      <c r="P114" s="488"/>
      <c r="R114" s="488"/>
      <c r="S114" s="488"/>
      <c r="T114" s="488"/>
      <c r="U114" s="488"/>
      <c r="V114" s="488"/>
    </row>
    <row r="115" spans="1:22" hidden="1">
      <c r="A115" s="459" t="s">
        <v>104</v>
      </c>
      <c r="B115" s="473"/>
      <c r="C115" s="473"/>
      <c r="D115" s="451"/>
      <c r="E115" s="451"/>
      <c r="F115" s="451"/>
      <c r="G115" s="451"/>
      <c r="H115" s="451"/>
      <c r="I115" s="479"/>
      <c r="J115" s="548"/>
      <c r="K115" s="479"/>
      <c r="L115" s="479"/>
      <c r="M115" s="479"/>
      <c r="N115" s="479"/>
      <c r="O115" s="479"/>
      <c r="P115" s="479"/>
      <c r="R115" s="479"/>
      <c r="S115" s="479"/>
      <c r="T115" s="479"/>
      <c r="U115" s="479"/>
      <c r="V115" s="479"/>
    </row>
    <row r="116" spans="1:22" hidden="1">
      <c r="A116" s="389" t="s">
        <v>119</v>
      </c>
      <c r="B116" s="390">
        <v>14423019</v>
      </c>
      <c r="C116" s="390"/>
      <c r="D116" s="390"/>
      <c r="E116" s="390">
        <f>'Budget m. LL22'!Q113</f>
        <v>14465354</v>
      </c>
      <c r="F116" s="390">
        <f>E116</f>
        <v>14465354</v>
      </c>
      <c r="G116" s="390"/>
      <c r="H116" s="390">
        <f t="shared" ref="H116:H120" si="53">F116-E116</f>
        <v>0</v>
      </c>
      <c r="I116" s="480">
        <f>'Budget m. LL22'!T113</f>
        <v>14265354</v>
      </c>
      <c r="J116" s="480">
        <v>6756692</v>
      </c>
      <c r="K116" s="480"/>
      <c r="L116" s="480"/>
      <c r="M116" s="480"/>
      <c r="N116" s="480"/>
      <c r="O116" s="480"/>
      <c r="P116" s="480"/>
      <c r="R116" s="480"/>
      <c r="S116" s="480"/>
      <c r="T116" s="480"/>
      <c r="U116" s="480"/>
      <c r="V116" s="480"/>
    </row>
    <row r="117" spans="1:22" hidden="1">
      <c r="A117" s="389" t="s">
        <v>106</v>
      </c>
      <c r="B117" s="433">
        <v>42335</v>
      </c>
      <c r="C117" s="433"/>
      <c r="D117" s="433"/>
      <c r="E117" s="433">
        <f>'Budget m. LL22'!Q114</f>
        <v>50000</v>
      </c>
      <c r="F117" s="433">
        <v>55823</v>
      </c>
      <c r="G117" s="433"/>
      <c r="H117" s="390">
        <f t="shared" si="53"/>
        <v>5823</v>
      </c>
      <c r="I117" s="478">
        <f>'Budget m. LL22'!T114</f>
        <v>50000</v>
      </c>
      <c r="J117" s="478">
        <v>23280</v>
      </c>
      <c r="K117" s="478"/>
      <c r="L117" s="478"/>
      <c r="M117" s="478"/>
      <c r="N117" s="478"/>
      <c r="O117" s="478"/>
      <c r="P117" s="478"/>
      <c r="R117" s="478"/>
      <c r="S117" s="478"/>
      <c r="T117" s="478"/>
      <c r="U117" s="478"/>
      <c r="V117" s="478"/>
    </row>
    <row r="118" spans="1:22" ht="33.75" hidden="1" customHeight="1">
      <c r="A118" s="469" t="s">
        <v>121</v>
      </c>
      <c r="B118" s="433">
        <v>0</v>
      </c>
      <c r="C118" s="433"/>
      <c r="D118" s="433"/>
      <c r="E118" s="433">
        <f>'Budget m. LL22'!Q115</f>
        <v>-250000</v>
      </c>
      <c r="F118" s="433">
        <f>F91*-1</f>
        <v>-91051</v>
      </c>
      <c r="G118" s="433"/>
      <c r="H118" s="390">
        <f t="shared" si="53"/>
        <v>158949</v>
      </c>
      <c r="I118" s="478">
        <f>'Budget m. LL22'!T115</f>
        <v>-361428.57142857142</v>
      </c>
      <c r="J118" s="478">
        <v>33219</v>
      </c>
      <c r="K118" s="478"/>
      <c r="L118" s="478"/>
      <c r="M118" s="478"/>
      <c r="N118" s="478"/>
      <c r="O118" s="478"/>
      <c r="P118" s="478"/>
      <c r="R118" s="478"/>
      <c r="S118" s="478"/>
      <c r="T118" s="478"/>
      <c r="U118" s="478"/>
      <c r="V118" s="478"/>
    </row>
    <row r="119" spans="1:22" hidden="1">
      <c r="A119" s="389" t="s">
        <v>123</v>
      </c>
      <c r="B119" s="433">
        <v>7518880</v>
      </c>
      <c r="C119" s="433"/>
      <c r="D119" s="433"/>
      <c r="E119" s="433">
        <f>'Budget m. LL22'!Q116</f>
        <v>7518880</v>
      </c>
      <c r="F119" s="433">
        <v>7673434</v>
      </c>
      <c r="G119" s="433"/>
      <c r="H119" s="390">
        <f t="shared" si="53"/>
        <v>154554</v>
      </c>
      <c r="I119" s="478">
        <f>'Budget m. LL22'!T116</f>
        <v>7518880</v>
      </c>
      <c r="J119" s="478">
        <v>76981</v>
      </c>
      <c r="K119" s="478"/>
      <c r="L119" s="478"/>
      <c r="M119" s="478"/>
      <c r="N119" s="478"/>
      <c r="O119" s="478"/>
      <c r="P119" s="478"/>
      <c r="R119" s="478"/>
      <c r="S119" s="478"/>
      <c r="T119" s="478"/>
      <c r="U119" s="478"/>
      <c r="V119" s="478"/>
    </row>
    <row r="120" spans="1:22" hidden="1">
      <c r="A120" s="464" t="s">
        <v>125</v>
      </c>
      <c r="B120" s="453">
        <f>B116+B117-B119</f>
        <v>6946474</v>
      </c>
      <c r="C120" s="453"/>
      <c r="D120" s="453"/>
      <c r="E120" s="453">
        <f>'Budget m. LL22'!Q117</f>
        <v>6746474</v>
      </c>
      <c r="F120" s="453">
        <f>F116+F117-F119+F118</f>
        <v>6756692</v>
      </c>
      <c r="G120" s="453"/>
      <c r="H120" s="453">
        <f t="shared" si="53"/>
        <v>10218</v>
      </c>
      <c r="I120" s="484">
        <f>'Budget m. LL22'!T117</f>
        <v>6435045.4285714282</v>
      </c>
      <c r="J120" s="484">
        <f>+J116+J117+J118+J119</f>
        <v>6890172</v>
      </c>
      <c r="K120" s="484"/>
      <c r="L120" s="484"/>
      <c r="M120" s="480"/>
      <c r="N120" s="480"/>
      <c r="O120" s="484"/>
      <c r="P120" s="480"/>
      <c r="R120" s="484"/>
      <c r="S120" s="480"/>
      <c r="T120" s="480"/>
      <c r="U120" s="480"/>
      <c r="V120" s="480"/>
    </row>
    <row r="121" spans="1:22" ht="6.75" hidden="1" customHeight="1">
      <c r="A121" s="459"/>
      <c r="B121" s="390"/>
      <c r="C121" s="390"/>
      <c r="D121" s="390"/>
      <c r="E121" s="390"/>
      <c r="F121" s="390"/>
      <c r="G121" s="390"/>
      <c r="H121" s="390"/>
      <c r="I121" s="458"/>
      <c r="J121" s="458"/>
      <c r="K121" s="458"/>
      <c r="L121" s="458"/>
      <c r="M121" s="390"/>
      <c r="N121" s="390"/>
      <c r="O121" s="458"/>
      <c r="P121" s="390"/>
      <c r="R121" s="458"/>
      <c r="S121" s="390"/>
      <c r="T121" s="390"/>
      <c r="U121" s="390"/>
      <c r="V121" s="390"/>
    </row>
    <row r="122" spans="1:22" hidden="1">
      <c r="A122" s="465"/>
      <c r="B122" s="488">
        <v>2019</v>
      </c>
      <c r="C122" s="488"/>
      <c r="D122" s="489"/>
      <c r="E122" s="489">
        <v>2020</v>
      </c>
      <c r="F122" s="489"/>
      <c r="G122" s="489"/>
      <c r="H122" s="489"/>
      <c r="I122" s="488">
        <v>2021</v>
      </c>
      <c r="J122" s="547"/>
      <c r="K122" s="488"/>
      <c r="L122" s="488"/>
      <c r="M122" s="488"/>
      <c r="N122" s="488"/>
      <c r="O122" s="488"/>
      <c r="P122" s="488"/>
      <c r="R122" s="488"/>
      <c r="S122" s="488"/>
      <c r="T122" s="488"/>
      <c r="U122" s="488"/>
      <c r="V122" s="488"/>
    </row>
    <row r="123" spans="1:22" hidden="1">
      <c r="A123" s="459" t="s">
        <v>126</v>
      </c>
      <c r="B123" s="473"/>
      <c r="C123" s="473"/>
      <c r="D123" s="451"/>
      <c r="E123" s="451"/>
      <c r="F123" s="451"/>
      <c r="G123" s="451"/>
      <c r="H123" s="451"/>
      <c r="I123" s="479"/>
      <c r="J123" s="548"/>
      <c r="K123" s="479"/>
      <c r="L123" s="479"/>
      <c r="M123" s="479"/>
      <c r="N123" s="479"/>
      <c r="O123" s="479"/>
      <c r="P123" s="479"/>
      <c r="R123" s="479"/>
      <c r="S123" s="479"/>
      <c r="T123" s="479"/>
      <c r="U123" s="479"/>
      <c r="V123" s="479"/>
    </row>
    <row r="124" spans="1:22" hidden="1">
      <c r="A124" s="389" t="s">
        <v>127</v>
      </c>
      <c r="B124" s="433">
        <v>542200</v>
      </c>
      <c r="C124" s="433"/>
      <c r="D124" s="433"/>
      <c r="E124" s="433">
        <f>'Budget m. LL22'!Q120</f>
        <v>542200</v>
      </c>
      <c r="F124" s="433">
        <f>B126</f>
        <v>542200</v>
      </c>
      <c r="G124" s="433"/>
      <c r="H124" s="390">
        <f t="shared" ref="H124:H126" si="54">F124-E124</f>
        <v>0</v>
      </c>
      <c r="I124" s="478">
        <f>'Budget m. LL22'!T120</f>
        <v>492200</v>
      </c>
      <c r="J124" s="478">
        <v>540159</v>
      </c>
      <c r="K124" s="478"/>
      <c r="L124" s="478"/>
      <c r="M124" s="478"/>
      <c r="N124" s="478"/>
      <c r="O124" s="478"/>
      <c r="P124" s="478"/>
      <c r="R124" s="478"/>
      <c r="S124" s="478"/>
      <c r="T124" s="478"/>
      <c r="U124" s="478"/>
      <c r="V124" s="478"/>
    </row>
    <row r="125" spans="1:22" hidden="1">
      <c r="A125" s="389" t="s">
        <v>128</v>
      </c>
      <c r="B125" s="433">
        <v>0</v>
      </c>
      <c r="C125" s="433">
        <v>2040.9</v>
      </c>
      <c r="D125" s="433"/>
      <c r="E125" s="433">
        <f>'Budget m. LL22'!Q121</f>
        <v>50000</v>
      </c>
      <c r="F125" s="433">
        <v>2041</v>
      </c>
      <c r="G125" s="433"/>
      <c r="H125" s="390">
        <f t="shared" si="54"/>
        <v>-47959</v>
      </c>
      <c r="I125" s="478">
        <f>'Budget m. LL22'!T121</f>
        <v>50000</v>
      </c>
      <c r="J125" s="478"/>
      <c r="K125" s="478"/>
      <c r="L125" s="478"/>
      <c r="M125" s="478"/>
      <c r="N125" s="478"/>
      <c r="O125" s="478"/>
      <c r="P125" s="478"/>
      <c r="R125" s="478"/>
      <c r="S125" s="478"/>
      <c r="T125" s="478"/>
      <c r="U125" s="478"/>
      <c r="V125" s="478"/>
    </row>
    <row r="126" spans="1:22" hidden="1">
      <c r="A126" s="464" t="s">
        <v>130</v>
      </c>
      <c r="B126" s="453">
        <v>542200</v>
      </c>
      <c r="C126" s="453"/>
      <c r="D126" s="453"/>
      <c r="E126" s="453">
        <f>'Budget m. LL22'!Q122</f>
        <v>492200</v>
      </c>
      <c r="F126" s="453">
        <f>F124-F125</f>
        <v>540159</v>
      </c>
      <c r="G126" s="453"/>
      <c r="H126" s="453">
        <f t="shared" si="54"/>
        <v>47959</v>
      </c>
      <c r="I126" s="484">
        <f>'Budget m. LL22'!T122</f>
        <v>442200</v>
      </c>
      <c r="J126" s="484">
        <v>540159</v>
      </c>
      <c r="K126" s="484"/>
      <c r="L126" s="484"/>
      <c r="M126" s="480"/>
      <c r="N126" s="480"/>
      <c r="O126" s="484"/>
      <c r="P126" s="480"/>
      <c r="R126" s="484"/>
      <c r="S126" s="480"/>
      <c r="T126" s="480"/>
      <c r="U126" s="480"/>
      <c r="V126" s="480"/>
    </row>
    <row r="127" spans="1:22" ht="6" hidden="1" customHeight="1">
      <c r="A127" s="459"/>
      <c r="B127" s="390"/>
      <c r="C127" s="390"/>
      <c r="D127" s="390"/>
      <c r="E127" s="390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R127" s="390"/>
      <c r="S127" s="390"/>
      <c r="T127" s="390"/>
      <c r="U127" s="390"/>
      <c r="V127" s="390"/>
    </row>
    <row r="128" spans="1:22" ht="17" hidden="1" thickBot="1">
      <c r="A128" s="462"/>
      <c r="B128" s="418"/>
      <c r="C128" s="418"/>
      <c r="D128" s="418"/>
      <c r="E128" s="419"/>
      <c r="F128" s="419"/>
      <c r="G128" s="419"/>
      <c r="H128" s="419"/>
      <c r="I128" s="418"/>
      <c r="J128" s="418"/>
      <c r="K128" s="418"/>
      <c r="L128" s="418"/>
      <c r="M128" s="390"/>
      <c r="N128" s="390"/>
      <c r="O128" s="418"/>
      <c r="P128" s="390"/>
      <c r="R128" s="418"/>
      <c r="S128" s="390"/>
      <c r="T128" s="390"/>
      <c r="U128" s="390"/>
      <c r="V128" s="390"/>
    </row>
    <row r="129" spans="1:22" hidden="1">
      <c r="A129" s="465"/>
      <c r="B129" s="488"/>
      <c r="C129" s="488"/>
      <c r="D129" s="489"/>
      <c r="E129" s="489">
        <v>2020</v>
      </c>
      <c r="F129" s="489"/>
      <c r="G129" s="489"/>
      <c r="H129" s="489"/>
      <c r="I129" s="488">
        <v>2021</v>
      </c>
      <c r="J129" s="547"/>
      <c r="K129" s="488"/>
      <c r="L129" s="488"/>
      <c r="M129" s="488"/>
      <c r="N129" s="488"/>
      <c r="O129" s="488"/>
      <c r="P129" s="488"/>
      <c r="R129" s="488"/>
      <c r="S129" s="488"/>
      <c r="T129" s="488"/>
      <c r="U129" s="488"/>
      <c r="V129" s="488"/>
    </row>
    <row r="130" spans="1:22" hidden="1">
      <c r="A130" s="459"/>
      <c r="B130" s="433"/>
      <c r="C130" s="433"/>
      <c r="D130" s="433"/>
      <c r="E130" s="451"/>
      <c r="F130" s="451"/>
      <c r="G130" s="451"/>
      <c r="H130" s="451"/>
      <c r="I130" s="479"/>
      <c r="J130" s="548"/>
      <c r="K130" s="479"/>
      <c r="L130" s="479"/>
      <c r="M130" s="479"/>
      <c r="N130" s="479"/>
      <c r="O130" s="479"/>
      <c r="P130" s="479"/>
      <c r="R130" s="479"/>
      <c r="S130" s="479"/>
      <c r="T130" s="479"/>
      <c r="U130" s="479"/>
      <c r="V130" s="479"/>
    </row>
    <row r="131" spans="1:22" ht="34" hidden="1">
      <c r="A131" s="460" t="s">
        <v>1542</v>
      </c>
      <c r="B131" s="433"/>
      <c r="C131" s="433"/>
      <c r="D131" s="433"/>
      <c r="E131" s="433">
        <f>'Budget m. LL22'!Q124</f>
        <v>150000</v>
      </c>
      <c r="F131" s="433">
        <v>91051</v>
      </c>
      <c r="G131" s="433"/>
      <c r="H131" s="390">
        <f t="shared" ref="H131" si="55">F131-E131</f>
        <v>-58949</v>
      </c>
      <c r="I131" s="478">
        <f>'Budget m. LL22'!T124</f>
        <v>150000</v>
      </c>
      <c r="J131" s="478"/>
      <c r="K131" s="478"/>
      <c r="L131" s="478"/>
      <c r="M131" s="478"/>
      <c r="N131" s="478"/>
      <c r="O131" s="478"/>
      <c r="P131" s="478"/>
      <c r="R131" s="478"/>
      <c r="S131" s="478"/>
      <c r="T131" s="478"/>
      <c r="U131" s="478"/>
      <c r="V131" s="478"/>
    </row>
    <row r="132" spans="1:22" ht="6.75" hidden="1" customHeight="1">
      <c r="A132" s="460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R132" s="433"/>
      <c r="S132" s="433"/>
      <c r="T132" s="433"/>
      <c r="U132" s="433"/>
      <c r="V132" s="433"/>
    </row>
    <row r="133" spans="1:22" hidden="1">
      <c r="A133" s="465"/>
      <c r="B133" s="431"/>
      <c r="C133" s="431"/>
      <c r="D133" s="431"/>
      <c r="E133" s="489">
        <v>2020</v>
      </c>
      <c r="F133" s="489"/>
      <c r="G133" s="489"/>
      <c r="H133" s="489"/>
      <c r="I133" s="488">
        <v>2021</v>
      </c>
      <c r="J133" s="547"/>
      <c r="K133" s="488"/>
      <c r="L133" s="488"/>
      <c r="M133" s="488"/>
      <c r="N133" s="488"/>
      <c r="O133" s="488"/>
      <c r="P133" s="488"/>
      <c r="R133" s="488"/>
      <c r="S133" s="488"/>
      <c r="T133" s="488"/>
      <c r="U133" s="488"/>
      <c r="V133" s="488"/>
    </row>
    <row r="134" spans="1:22" hidden="1">
      <c r="A134" s="459" t="s">
        <v>1499</v>
      </c>
      <c r="E134" s="617" t="s">
        <v>1543</v>
      </c>
      <c r="F134" s="617"/>
      <c r="G134" s="617"/>
      <c r="H134" s="617"/>
      <c r="I134" s="617"/>
      <c r="J134" s="617"/>
    </row>
    <row r="135" spans="1:22" hidden="1">
      <c r="A135" s="459"/>
      <c r="B135" s="616" t="s">
        <v>1500</v>
      </c>
      <c r="C135" s="616"/>
      <c r="D135" s="616"/>
      <c r="E135" s="451"/>
      <c r="F135" s="451"/>
      <c r="G135" s="451"/>
      <c r="H135" s="451"/>
      <c r="I135" s="479"/>
      <c r="J135" s="548"/>
      <c r="K135" s="479"/>
      <c r="L135" s="479"/>
      <c r="M135" s="479"/>
      <c r="N135" s="479"/>
      <c r="O135" s="479"/>
      <c r="P135" s="479"/>
      <c r="R135" s="479"/>
      <c r="S135" s="479"/>
      <c r="T135" s="479"/>
      <c r="U135" s="479"/>
      <c r="V135" s="479"/>
    </row>
    <row r="136" spans="1:22" hidden="1">
      <c r="A136" s="389" t="s">
        <v>1501</v>
      </c>
      <c r="B136" s="461">
        <v>11428.571428571429</v>
      </c>
      <c r="C136" s="461"/>
      <c r="E136" s="433"/>
      <c r="F136" s="433"/>
      <c r="G136" s="433"/>
      <c r="H136" s="433"/>
      <c r="I136" s="478">
        <f>'Budget m. LL22'!T127</f>
        <v>2000000</v>
      </c>
      <c r="J136" s="478"/>
      <c r="K136" s="478"/>
      <c r="L136" s="478"/>
      <c r="M136" s="478"/>
      <c r="N136" s="478"/>
      <c r="O136" s="478"/>
      <c r="P136" s="478"/>
      <c r="R136" s="478"/>
      <c r="S136" s="478"/>
      <c r="T136" s="478"/>
      <c r="U136" s="478"/>
      <c r="V136" s="478"/>
    </row>
    <row r="137" spans="1:22" hidden="1">
      <c r="A137" s="389" t="s">
        <v>1502</v>
      </c>
      <c r="B137" s="461">
        <v>100000</v>
      </c>
      <c r="C137" s="461"/>
      <c r="E137" s="433">
        <f>'Budget m. LL22'!Q128</f>
        <v>500000</v>
      </c>
      <c r="F137" s="433"/>
      <c r="G137" s="433"/>
      <c r="H137" s="433"/>
      <c r="I137" s="478"/>
      <c r="J137" s="478"/>
      <c r="K137" s="478"/>
      <c r="L137" s="478"/>
      <c r="M137" s="478"/>
      <c r="N137" s="478"/>
      <c r="O137" s="478"/>
      <c r="P137" s="478"/>
      <c r="R137" s="478"/>
      <c r="S137" s="478"/>
      <c r="T137" s="478"/>
      <c r="U137" s="478"/>
      <c r="V137" s="478"/>
    </row>
    <row r="138" spans="1:22" hidden="1">
      <c r="A138" s="389" t="s">
        <v>1503</v>
      </c>
      <c r="B138" s="461">
        <v>20000</v>
      </c>
      <c r="C138" s="461"/>
      <c r="E138" s="433"/>
      <c r="F138" s="433"/>
      <c r="G138" s="433"/>
      <c r="H138" s="433"/>
      <c r="I138" s="478"/>
      <c r="J138" s="478"/>
      <c r="K138" s="478"/>
      <c r="L138" s="478"/>
      <c r="M138" s="478"/>
      <c r="N138" s="478"/>
      <c r="O138" s="478"/>
      <c r="P138" s="478"/>
      <c r="R138" s="478"/>
      <c r="S138" s="478"/>
      <c r="T138" s="478"/>
      <c r="U138" s="478"/>
      <c r="V138" s="478"/>
    </row>
    <row r="139" spans="1:22" hidden="1">
      <c r="A139" s="389" t="s">
        <v>1504</v>
      </c>
      <c r="B139" s="461">
        <v>100000</v>
      </c>
      <c r="C139" s="461"/>
      <c r="E139" s="433"/>
      <c r="F139" s="433"/>
      <c r="G139" s="433"/>
      <c r="H139" s="433"/>
      <c r="I139" s="478">
        <f>'Budget m. LL22'!T130</f>
        <v>500000</v>
      </c>
      <c r="J139" s="478"/>
      <c r="K139" s="478"/>
      <c r="L139" s="478"/>
      <c r="M139" s="478"/>
      <c r="N139" s="478"/>
      <c r="O139" s="478"/>
      <c r="P139" s="478"/>
      <c r="R139" s="478"/>
      <c r="S139" s="478"/>
      <c r="T139" s="478"/>
      <c r="U139" s="478"/>
      <c r="V139" s="478"/>
    </row>
    <row r="140" spans="1:22" hidden="1">
      <c r="A140" s="389" t="s">
        <v>141</v>
      </c>
      <c r="B140" s="461">
        <v>60000</v>
      </c>
      <c r="C140" s="461"/>
      <c r="E140" s="433">
        <f>'Budget m. LL22'!Q131</f>
        <v>300000</v>
      </c>
      <c r="F140" s="433"/>
      <c r="G140" s="433"/>
      <c r="H140" s="433"/>
      <c r="I140" s="478"/>
      <c r="J140" s="478"/>
      <c r="K140" s="478"/>
      <c r="L140" s="478"/>
      <c r="M140" s="478"/>
      <c r="N140" s="478"/>
      <c r="O140" s="478"/>
      <c r="P140" s="478"/>
      <c r="R140" s="478"/>
      <c r="S140" s="478"/>
      <c r="T140" s="478"/>
      <c r="U140" s="478"/>
      <c r="V140" s="478"/>
    </row>
    <row r="141" spans="1:22" hidden="1">
      <c r="A141" s="389" t="s">
        <v>143</v>
      </c>
      <c r="B141" s="461">
        <v>400000</v>
      </c>
      <c r="C141" s="461"/>
      <c r="E141" s="433"/>
      <c r="F141" s="433"/>
      <c r="G141" s="433"/>
      <c r="H141" s="433"/>
      <c r="I141" s="478">
        <f>'Budget m. LL22'!T132</f>
        <v>2000000</v>
      </c>
      <c r="J141" s="478"/>
      <c r="K141" s="478"/>
      <c r="L141" s="478"/>
      <c r="M141" s="478"/>
      <c r="N141" s="478"/>
      <c r="O141" s="478"/>
      <c r="P141" s="478"/>
      <c r="R141" s="478"/>
      <c r="S141" s="478"/>
      <c r="T141" s="478"/>
      <c r="U141" s="478"/>
      <c r="V141" s="478"/>
    </row>
    <row r="142" spans="1:22" hidden="1">
      <c r="A142" s="389" t="s">
        <v>145</v>
      </c>
      <c r="B142" s="461">
        <v>100000</v>
      </c>
      <c r="C142" s="461"/>
      <c r="E142" s="433"/>
      <c r="F142" s="433"/>
      <c r="G142" s="433"/>
      <c r="H142" s="433"/>
      <c r="I142" s="478">
        <f>'Budget m. LL22'!T133</f>
        <v>500000</v>
      </c>
      <c r="J142" s="478"/>
      <c r="K142" s="478"/>
      <c r="L142" s="478"/>
      <c r="M142" s="478"/>
      <c r="N142" s="478"/>
      <c r="O142" s="478"/>
      <c r="P142" s="478"/>
      <c r="R142" s="478"/>
      <c r="S142" s="478"/>
      <c r="T142" s="478"/>
      <c r="U142" s="478"/>
      <c r="V142" s="478"/>
    </row>
    <row r="143" spans="1:22" hidden="1">
      <c r="A143" s="466" t="s">
        <v>1544</v>
      </c>
      <c r="E143" s="467"/>
      <c r="F143" s="467"/>
      <c r="G143" s="467"/>
      <c r="H143" s="467"/>
    </row>
    <row r="144" spans="1:22">
      <c r="A144" s="400" t="s">
        <v>1545</v>
      </c>
      <c r="E144" s="467"/>
      <c r="F144" s="467"/>
      <c r="G144" s="467"/>
      <c r="H144" s="467"/>
    </row>
    <row r="145" spans="1:22">
      <c r="A145" s="389" t="s">
        <v>1546</v>
      </c>
      <c r="E145" s="467"/>
      <c r="F145" s="560"/>
      <c r="G145" s="560"/>
      <c r="H145" s="560"/>
      <c r="I145" s="517"/>
      <c r="J145" s="561"/>
      <c r="L145" s="478">
        <v>2000000</v>
      </c>
      <c r="M145" s="537">
        <f>+'Råbalance Q3'!C354</f>
        <v>3088992.09</v>
      </c>
      <c r="O145" s="478">
        <v>2000000</v>
      </c>
      <c r="P145" s="537">
        <f>M145</f>
        <v>3088992.09</v>
      </c>
      <c r="Q145" s="433">
        <f t="shared" ref="Q145:Q147" si="56">P145-O145</f>
        <v>1088992.0899999999</v>
      </c>
      <c r="R145" s="478"/>
      <c r="S145" s="600"/>
      <c r="T145" s="461"/>
      <c r="V145" s="461"/>
    </row>
    <row r="146" spans="1:22">
      <c r="A146" s="389" t="s">
        <v>143</v>
      </c>
      <c r="E146" s="467"/>
      <c r="F146" s="560"/>
      <c r="G146" s="560"/>
      <c r="H146" s="560"/>
      <c r="I146" s="562"/>
      <c r="J146" s="561"/>
      <c r="L146" s="478">
        <v>2000000</v>
      </c>
      <c r="M146" s="537">
        <v>1015078</v>
      </c>
      <c r="O146" s="478">
        <v>2000000</v>
      </c>
      <c r="P146" s="389">
        <v>1542696</v>
      </c>
      <c r="Q146" s="433">
        <f t="shared" si="56"/>
        <v>-457304</v>
      </c>
      <c r="R146" s="478"/>
      <c r="S146" s="600"/>
      <c r="T146" s="461">
        <f>+'råbalanceQ1 2023'!C361</f>
        <v>44151.93</v>
      </c>
      <c r="V146" s="461"/>
    </row>
    <row r="147" spans="1:22">
      <c r="A147" s="568" t="s">
        <v>1547</v>
      </c>
      <c r="B147" s="568"/>
      <c r="C147" s="568"/>
      <c r="D147" s="568"/>
      <c r="E147" s="569"/>
      <c r="F147" s="570"/>
      <c r="G147" s="570"/>
      <c r="H147" s="570"/>
      <c r="I147" s="571"/>
      <c r="J147" s="572"/>
      <c r="K147" s="568"/>
      <c r="L147" s="574">
        <v>800000</v>
      </c>
      <c r="M147" s="573">
        <f>råbalance2022!C605</f>
        <v>532299.72</v>
      </c>
      <c r="N147" s="568"/>
      <c r="O147" s="574">
        <v>800000</v>
      </c>
      <c r="P147" s="568">
        <v>1300000</v>
      </c>
      <c r="Q147" s="575">
        <f t="shared" si="56"/>
        <v>500000</v>
      </c>
      <c r="R147" s="574"/>
      <c r="S147" s="606"/>
      <c r="T147" s="597">
        <v>0</v>
      </c>
      <c r="U147" s="568"/>
      <c r="V147" s="597"/>
    </row>
    <row r="148" spans="1:22">
      <c r="E148" s="468"/>
      <c r="F148" s="468"/>
      <c r="G148" s="468"/>
      <c r="H148" s="468"/>
      <c r="M148" s="537"/>
    </row>
    <row r="149" spans="1:22">
      <c r="E149" s="468"/>
      <c r="F149" s="468"/>
      <c r="G149" s="468"/>
      <c r="H149" s="468"/>
      <c r="M149" s="537"/>
    </row>
    <row r="150" spans="1:22">
      <c r="E150" s="468"/>
      <c r="F150" s="468"/>
      <c r="G150" s="468"/>
      <c r="H150" s="468"/>
    </row>
  </sheetData>
  <mergeCells count="2">
    <mergeCell ref="B135:D135"/>
    <mergeCell ref="E134:J134"/>
  </mergeCells>
  <conditionalFormatting sqref="G93:G96 G97:H101">
    <cfRule type="cellIs" dxfId="53" priority="105" operator="greaterThan">
      <formula>0</formula>
    </cfRule>
    <cfRule type="cellIs" dxfId="52" priority="106" operator="lessThan">
      <formula>0</formula>
    </cfRule>
  </conditionalFormatting>
  <conditionalFormatting sqref="G9:H31">
    <cfRule type="cellIs" dxfId="51" priority="110" operator="lessThan">
      <formula>0</formula>
    </cfRule>
    <cfRule type="cellIs" dxfId="50" priority="111" operator="greaterThan">
      <formula>0</formula>
    </cfRule>
  </conditionalFormatting>
  <conditionalFormatting sqref="G34:H34 H35:H64 G35:G84 H66:H85">
    <cfRule type="cellIs" dxfId="49" priority="108" operator="greaterThan">
      <formula>0</formula>
    </cfRule>
    <cfRule type="cellIs" dxfId="48" priority="109" operator="lessThan">
      <formula>0</formula>
    </cfRule>
  </conditionalFormatting>
  <conditionalFormatting sqref="G86:H86">
    <cfRule type="cellIs" dxfId="47" priority="89" operator="greaterThan">
      <formula>0</formula>
    </cfRule>
    <cfRule type="cellIs" dxfId="46" priority="90" operator="lessThan">
      <formula>0</formula>
    </cfRule>
  </conditionalFormatting>
  <conditionalFormatting sqref="H93:H95">
    <cfRule type="cellIs" dxfId="45" priority="99" operator="greaterThan">
      <formula>0</formula>
    </cfRule>
    <cfRule type="cellIs" dxfId="44" priority="100" operator="lessThan">
      <formula>0</formula>
    </cfRule>
  </conditionalFormatting>
  <conditionalFormatting sqref="H96">
    <cfRule type="cellIs" dxfId="43" priority="83" operator="greaterThan">
      <formula>0</formula>
    </cfRule>
    <cfRule type="cellIs" dxfId="42" priority="84" operator="lessThan">
      <formula>0</formula>
    </cfRule>
  </conditionalFormatting>
  <conditionalFormatting sqref="H107:H112">
    <cfRule type="cellIs" dxfId="41" priority="97" operator="greaterThan">
      <formula>0</formula>
    </cfRule>
    <cfRule type="cellIs" dxfId="40" priority="98" operator="lessThan">
      <formula>0</formula>
    </cfRule>
  </conditionalFormatting>
  <conditionalFormatting sqref="H116:H120">
    <cfRule type="cellIs" dxfId="39" priority="95" operator="greaterThan">
      <formula>0</formula>
    </cfRule>
    <cfRule type="cellIs" dxfId="38" priority="96" operator="lessThan">
      <formula>0</formula>
    </cfRule>
  </conditionalFormatting>
  <conditionalFormatting sqref="H124:H126">
    <cfRule type="cellIs" dxfId="37" priority="93" operator="greaterThan">
      <formula>0</formula>
    </cfRule>
    <cfRule type="cellIs" dxfId="36" priority="94" operator="lessThan">
      <formula>0</formula>
    </cfRule>
  </conditionalFormatting>
  <conditionalFormatting sqref="H131">
    <cfRule type="cellIs" dxfId="35" priority="91" operator="greaterThan">
      <formula>0</formula>
    </cfRule>
    <cfRule type="cellIs" dxfId="34" priority="92" operator="lessThan">
      <formula>0</formula>
    </cfRule>
  </conditionalFormatting>
  <conditionalFormatting sqref="K9:K17 N9:N30 K19:K30">
    <cfRule type="cellIs" dxfId="33" priority="77" operator="lessThan">
      <formula>0</formula>
    </cfRule>
    <cfRule type="cellIs" dxfId="32" priority="78" operator="greaterThan">
      <formula>0</formula>
    </cfRule>
  </conditionalFormatting>
  <conditionalFormatting sqref="K34:K84 Q34:Q85 N34:N86 U34:U85">
    <cfRule type="cellIs" dxfId="31" priority="69" operator="lessThan">
      <formula>0</formula>
    </cfRule>
    <cfRule type="cellIs" dxfId="30" priority="70" operator="greaterThan">
      <formula>0</formula>
    </cfRule>
  </conditionalFormatting>
  <conditionalFormatting sqref="K85:K96 N87:N88 M89:N96">
    <cfRule type="cellIs" dxfId="29" priority="71" operator="lessThan">
      <formula>0</formula>
    </cfRule>
    <cfRule type="cellIs" dxfId="28" priority="72" operator="greaterThan">
      <formula>0</formula>
    </cfRule>
  </conditionalFormatting>
  <conditionalFormatting sqref="K99:K101 M99:N101">
    <cfRule type="cellIs" dxfId="27" priority="61" operator="lessThan">
      <formula>0</formula>
    </cfRule>
    <cfRule type="cellIs" dxfId="26" priority="62" operator="greaterThan">
      <formula>0</formula>
    </cfRule>
  </conditionalFormatting>
  <conditionalFormatting sqref="P89">
    <cfRule type="cellIs" dxfId="25" priority="51" operator="lessThan">
      <formula>0</formula>
    </cfRule>
    <cfRule type="cellIs" dxfId="24" priority="52" operator="greaterThan">
      <formula>0</formula>
    </cfRule>
  </conditionalFormatting>
  <conditionalFormatting sqref="Q9:Q30">
    <cfRule type="cellIs" dxfId="23" priority="47" operator="lessThan">
      <formula>0</formula>
    </cfRule>
    <cfRule type="cellIs" dxfId="22" priority="48" operator="greaterThan">
      <formula>0</formula>
    </cfRule>
  </conditionalFormatting>
  <conditionalFormatting sqref="Q86:Q101">
    <cfRule type="cellIs" dxfId="21" priority="33" operator="lessThan">
      <formula>0</formula>
    </cfRule>
    <cfRule type="cellIs" dxfId="20" priority="34" operator="greaterThan">
      <formula>0</formula>
    </cfRule>
  </conditionalFormatting>
  <conditionalFormatting sqref="Q145:Q147">
    <cfRule type="cellIs" dxfId="19" priority="41" operator="lessThan">
      <formula>0</formula>
    </cfRule>
    <cfRule type="cellIs" dxfId="18" priority="42" operator="greaterThan">
      <formula>0</formula>
    </cfRule>
  </conditionalFormatting>
  <conditionalFormatting sqref="T89:T95">
    <cfRule type="cellIs" dxfId="17" priority="29" operator="lessThan">
      <formula>0</formula>
    </cfRule>
    <cfRule type="cellIs" dxfId="16" priority="30" operator="greaterThan">
      <formula>0</formula>
    </cfRule>
  </conditionalFormatting>
  <conditionalFormatting sqref="T99:V101">
    <cfRule type="cellIs" dxfId="15" priority="13" operator="lessThan">
      <formula>0</formula>
    </cfRule>
    <cfRule type="cellIs" dxfId="14" priority="14" operator="greaterThan">
      <formula>0</formula>
    </cfRule>
  </conditionalFormatting>
  <conditionalFormatting sqref="U9:U30">
    <cfRule type="cellIs" dxfId="13" priority="23" operator="lessThan">
      <formula>0</formula>
    </cfRule>
    <cfRule type="cellIs" dxfId="12" priority="24" operator="greaterThan">
      <formula>0</formula>
    </cfRule>
  </conditionalFormatting>
  <conditionalFormatting sqref="U86:U95">
    <cfRule type="cellIs" dxfId="11" priority="21" operator="lessThan">
      <formula>0</formula>
    </cfRule>
    <cfRule type="cellIs" dxfId="10" priority="22" operator="greaterThan">
      <formula>0</formula>
    </cfRule>
  </conditionalFormatting>
  <conditionalFormatting sqref="W9:W30">
    <cfRule type="cellIs" dxfId="9" priority="11" operator="lessThan">
      <formula>0</formula>
    </cfRule>
    <cfRule type="cellIs" dxfId="8" priority="12" operator="greaterThan">
      <formula>0</formula>
    </cfRule>
  </conditionalFormatting>
  <conditionalFormatting sqref="W34:W84">
    <cfRule type="cellIs" dxfId="7" priority="9" operator="lessThan">
      <formula>0</formula>
    </cfRule>
    <cfRule type="cellIs" dxfId="6" priority="10" operator="greaterThan">
      <formula>0</formula>
    </cfRule>
  </conditionalFormatting>
  <conditionalFormatting sqref="W86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W88:W95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W9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rowBreaks count="1" manualBreakCount="1">
    <brk id="3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6ACB5-6EA4-46BF-AAD1-963B872420D2}">
  <dimension ref="A1:P988"/>
  <sheetViews>
    <sheetView topLeftCell="A351" workbookViewId="0">
      <selection activeCell="C361" sqref="C361"/>
    </sheetView>
  </sheetViews>
  <sheetFormatPr baseColWidth="10" defaultColWidth="8.83203125" defaultRowHeight="14"/>
  <cols>
    <col min="1" max="1" width="9.1640625" bestFit="1" customWidth="1"/>
    <col min="2" max="2" width="33" bestFit="1" customWidth="1"/>
    <col min="3" max="3" width="11" style="14" bestFit="1" customWidth="1"/>
    <col min="4" max="4" width="11.83203125" bestFit="1" customWidth="1"/>
    <col min="5" max="5" width="8" bestFit="1" customWidth="1"/>
    <col min="6" max="6" width="12.83203125" bestFit="1" customWidth="1"/>
    <col min="7" max="7" width="9" bestFit="1" customWidth="1"/>
  </cols>
  <sheetData>
    <row r="1" spans="1:6">
      <c r="C1" s="588">
        <v>45016</v>
      </c>
    </row>
    <row r="2" spans="1:6" ht="15">
      <c r="A2" s="579" t="s">
        <v>154</v>
      </c>
      <c r="B2" s="580" t="s">
        <v>155</v>
      </c>
      <c r="C2" s="589">
        <v>0</v>
      </c>
      <c r="D2" s="581">
        <v>0</v>
      </c>
      <c r="E2" s="580" t="s">
        <v>1548</v>
      </c>
      <c r="F2" s="582" t="s">
        <v>100</v>
      </c>
    </row>
    <row r="3" spans="1:6" ht="15">
      <c r="A3" s="583" t="s">
        <v>158</v>
      </c>
      <c r="B3" s="584" t="s">
        <v>159</v>
      </c>
      <c r="C3" s="590">
        <v>0</v>
      </c>
      <c r="D3" s="585">
        <v>0</v>
      </c>
      <c r="E3" s="584" t="s">
        <v>1548</v>
      </c>
      <c r="F3" s="586" t="s">
        <v>100</v>
      </c>
    </row>
    <row r="4" spans="1:6" ht="15">
      <c r="A4" s="579" t="s">
        <v>160</v>
      </c>
      <c r="B4" s="580" t="s">
        <v>161</v>
      </c>
      <c r="C4" s="589">
        <v>-1942290</v>
      </c>
      <c r="D4" s="581">
        <v>-9880761.25</v>
      </c>
      <c r="E4" s="580" t="s">
        <v>1549</v>
      </c>
      <c r="F4" s="582" t="s">
        <v>100</v>
      </c>
    </row>
    <row r="5" spans="1:6" ht="15">
      <c r="A5" s="583" t="s">
        <v>163</v>
      </c>
      <c r="B5" s="584" t="s">
        <v>164</v>
      </c>
      <c r="C5" s="590">
        <v>0</v>
      </c>
      <c r="D5" s="585">
        <v>0</v>
      </c>
      <c r="E5" s="584" t="s">
        <v>1549</v>
      </c>
      <c r="F5" s="586" t="s">
        <v>100</v>
      </c>
    </row>
    <row r="6" spans="1:6" ht="15">
      <c r="A6" s="579" t="s">
        <v>165</v>
      </c>
      <c r="B6" s="580" t="s">
        <v>166</v>
      </c>
      <c r="C6" s="589">
        <v>-25338.880000000001</v>
      </c>
      <c r="D6" s="581">
        <v>-76605.86</v>
      </c>
      <c r="E6" s="580" t="s">
        <v>1549</v>
      </c>
      <c r="F6" s="582" t="s">
        <v>100</v>
      </c>
    </row>
    <row r="7" spans="1:6" ht="15">
      <c r="A7" s="583" t="s">
        <v>167</v>
      </c>
      <c r="B7" s="584" t="s">
        <v>168</v>
      </c>
      <c r="C7" s="590">
        <v>-1967628.88</v>
      </c>
      <c r="D7" s="585">
        <v>-9957367.1099999994</v>
      </c>
      <c r="E7" s="584" t="s">
        <v>1550</v>
      </c>
      <c r="F7" s="586" t="s">
        <v>170</v>
      </c>
    </row>
    <row r="8" spans="1:6" ht="15">
      <c r="A8" s="579" t="s">
        <v>171</v>
      </c>
      <c r="B8" s="580" t="s">
        <v>172</v>
      </c>
      <c r="C8" s="589">
        <v>0</v>
      </c>
      <c r="D8" s="581">
        <v>0</v>
      </c>
      <c r="E8" s="580" t="s">
        <v>1548</v>
      </c>
      <c r="F8" s="582" t="s">
        <v>100</v>
      </c>
    </row>
    <row r="9" spans="1:6" ht="15">
      <c r="A9" s="583" t="s">
        <v>173</v>
      </c>
      <c r="B9" s="584" t="s">
        <v>174</v>
      </c>
      <c r="C9" s="590">
        <v>0</v>
      </c>
      <c r="D9" s="585">
        <v>-7726156</v>
      </c>
      <c r="E9" s="584" t="s">
        <v>1549</v>
      </c>
      <c r="F9" s="586" t="s">
        <v>100</v>
      </c>
    </row>
    <row r="10" spans="1:6" ht="15">
      <c r="A10" s="579" t="s">
        <v>175</v>
      </c>
      <c r="B10" s="580" t="s">
        <v>176</v>
      </c>
      <c r="C10" s="589">
        <v>250</v>
      </c>
      <c r="D10" s="581">
        <v>-261833.9</v>
      </c>
      <c r="E10" s="580" t="s">
        <v>1549</v>
      </c>
      <c r="F10" s="582" t="s">
        <v>100</v>
      </c>
    </row>
    <row r="11" spans="1:6" ht="15">
      <c r="A11" s="583" t="s">
        <v>177</v>
      </c>
      <c r="B11" s="584" t="s">
        <v>178</v>
      </c>
      <c r="C11" s="590">
        <v>-9217.0300000000007</v>
      </c>
      <c r="D11" s="585">
        <v>-333228.33</v>
      </c>
      <c r="E11" s="584" t="s">
        <v>1549</v>
      </c>
      <c r="F11" s="586" t="s">
        <v>100</v>
      </c>
    </row>
    <row r="12" spans="1:6" ht="15">
      <c r="A12" s="579" t="s">
        <v>179</v>
      </c>
      <c r="B12" s="580" t="s">
        <v>180</v>
      </c>
      <c r="C12" s="589">
        <v>7817</v>
      </c>
      <c r="D12" s="581">
        <v>306387</v>
      </c>
      <c r="E12" s="580" t="s">
        <v>1549</v>
      </c>
      <c r="F12" s="582" t="s">
        <v>100</v>
      </c>
    </row>
    <row r="13" spans="1:6" ht="15">
      <c r="A13" s="583" t="s">
        <v>181</v>
      </c>
      <c r="B13" s="584" t="s">
        <v>182</v>
      </c>
      <c r="C13" s="590">
        <v>0</v>
      </c>
      <c r="D13" s="585">
        <v>0</v>
      </c>
      <c r="E13" s="584" t="s">
        <v>1549</v>
      </c>
      <c r="F13" s="586" t="s">
        <v>100</v>
      </c>
    </row>
    <row r="14" spans="1:6" ht="15">
      <c r="A14" s="579" t="s">
        <v>183</v>
      </c>
      <c r="B14" s="580" t="s">
        <v>184</v>
      </c>
      <c r="C14" s="589">
        <v>0</v>
      </c>
      <c r="D14" s="581">
        <v>-373135</v>
      </c>
      <c r="E14" s="580" t="s">
        <v>1549</v>
      </c>
      <c r="F14" s="582" t="s">
        <v>100</v>
      </c>
    </row>
    <row r="15" spans="1:6" ht="15">
      <c r="A15" s="583" t="s">
        <v>1551</v>
      </c>
      <c r="B15" s="584" t="s">
        <v>1552</v>
      </c>
      <c r="C15" s="590">
        <v>-10451.700000000001</v>
      </c>
      <c r="D15" s="585">
        <v>-10451.700000000001</v>
      </c>
      <c r="E15" s="584" t="s">
        <v>1549</v>
      </c>
      <c r="F15" s="586" t="s">
        <v>100</v>
      </c>
    </row>
    <row r="16" spans="1:6" ht="15">
      <c r="A16" s="579" t="s">
        <v>1553</v>
      </c>
      <c r="B16" s="580" t="s">
        <v>1554</v>
      </c>
      <c r="C16" s="589">
        <v>0</v>
      </c>
      <c r="D16" s="581">
        <v>67290.759999999995</v>
      </c>
      <c r="E16" s="580" t="s">
        <v>1549</v>
      </c>
      <c r="F16" s="582" t="s">
        <v>100</v>
      </c>
    </row>
    <row r="17" spans="1:6" ht="15">
      <c r="A17" s="583" t="s">
        <v>185</v>
      </c>
      <c r="B17" s="584" t="s">
        <v>186</v>
      </c>
      <c r="C17" s="590">
        <v>-11601.73</v>
      </c>
      <c r="D17" s="585">
        <v>-8331127.1699999999</v>
      </c>
      <c r="E17" s="584" t="s">
        <v>1550</v>
      </c>
      <c r="F17" s="586" t="s">
        <v>187</v>
      </c>
    </row>
    <row r="18" spans="1:6" ht="15">
      <c r="A18" s="579" t="s">
        <v>188</v>
      </c>
      <c r="B18" s="580" t="s">
        <v>189</v>
      </c>
      <c r="C18" s="589">
        <v>0</v>
      </c>
      <c r="D18" s="581">
        <v>0</v>
      </c>
      <c r="E18" s="580" t="s">
        <v>1548</v>
      </c>
      <c r="F18" s="582" t="s">
        <v>100</v>
      </c>
    </row>
    <row r="19" spans="1:6" ht="15">
      <c r="A19" s="583" t="s">
        <v>190</v>
      </c>
      <c r="B19" s="584" t="s">
        <v>191</v>
      </c>
      <c r="C19" s="590">
        <v>0</v>
      </c>
      <c r="D19" s="585">
        <v>0</v>
      </c>
      <c r="E19" s="584" t="s">
        <v>1548</v>
      </c>
      <c r="F19" s="586" t="s">
        <v>100</v>
      </c>
    </row>
    <row r="20" spans="1:6" ht="15">
      <c r="A20" s="579" t="s">
        <v>192</v>
      </c>
      <c r="B20" s="580" t="s">
        <v>193</v>
      </c>
      <c r="C20" s="589">
        <v>0</v>
      </c>
      <c r="D20" s="581">
        <v>0</v>
      </c>
      <c r="E20" s="580" t="s">
        <v>1549</v>
      </c>
      <c r="F20" s="582" t="s">
        <v>100</v>
      </c>
    </row>
    <row r="21" spans="1:6" ht="15">
      <c r="A21" s="583" t="s">
        <v>194</v>
      </c>
      <c r="B21" s="584" t="s">
        <v>195</v>
      </c>
      <c r="C21" s="590">
        <v>0</v>
      </c>
      <c r="D21" s="585">
        <v>0</v>
      </c>
      <c r="E21" s="584" t="s">
        <v>1550</v>
      </c>
      <c r="F21" s="586" t="s">
        <v>196</v>
      </c>
    </row>
    <row r="22" spans="1:6" ht="15">
      <c r="A22" s="579" t="s">
        <v>197</v>
      </c>
      <c r="B22" s="580" t="s">
        <v>198</v>
      </c>
      <c r="C22" s="589">
        <v>0</v>
      </c>
      <c r="D22" s="581">
        <v>0</v>
      </c>
      <c r="E22" s="580" t="s">
        <v>1548</v>
      </c>
      <c r="F22" s="582" t="s">
        <v>100</v>
      </c>
    </row>
    <row r="23" spans="1:6" ht="15">
      <c r="A23" s="583" t="s">
        <v>199</v>
      </c>
      <c r="B23" s="584" t="s">
        <v>200</v>
      </c>
      <c r="C23" s="590">
        <v>-168822</v>
      </c>
      <c r="D23" s="585">
        <v>-1104122.02</v>
      </c>
      <c r="E23" s="584" t="s">
        <v>1549</v>
      </c>
      <c r="F23" s="586" t="s">
        <v>100</v>
      </c>
    </row>
    <row r="24" spans="1:6" ht="15">
      <c r="A24" s="579" t="s">
        <v>201</v>
      </c>
      <c r="B24" s="580" t="s">
        <v>202</v>
      </c>
      <c r="C24" s="589">
        <v>0</v>
      </c>
      <c r="D24" s="581">
        <v>-26751.13</v>
      </c>
      <c r="E24" s="580" t="s">
        <v>1549</v>
      </c>
      <c r="F24" s="582" t="s">
        <v>100</v>
      </c>
    </row>
    <row r="25" spans="1:6" ht="15">
      <c r="A25" s="583" t="s">
        <v>203</v>
      </c>
      <c r="B25" s="584" t="s">
        <v>204</v>
      </c>
      <c r="C25" s="590">
        <v>1852.14</v>
      </c>
      <c r="D25" s="585">
        <v>36273.199999999997</v>
      </c>
      <c r="E25" s="584" t="s">
        <v>1549</v>
      </c>
      <c r="F25" s="586" t="s">
        <v>100</v>
      </c>
    </row>
    <row r="26" spans="1:6" ht="15">
      <c r="A26" s="579" t="s">
        <v>205</v>
      </c>
      <c r="B26" s="580" t="s">
        <v>206</v>
      </c>
      <c r="C26" s="589">
        <v>0</v>
      </c>
      <c r="D26" s="581">
        <v>20742.990000000002</v>
      </c>
      <c r="E26" s="580" t="s">
        <v>1549</v>
      </c>
      <c r="F26" s="582" t="s">
        <v>100</v>
      </c>
    </row>
    <row r="27" spans="1:6" ht="15">
      <c r="A27" s="583" t="s">
        <v>207</v>
      </c>
      <c r="B27" s="584" t="s">
        <v>208</v>
      </c>
      <c r="C27" s="590">
        <v>12320</v>
      </c>
      <c r="D27" s="585">
        <v>303096.36</v>
      </c>
      <c r="E27" s="584" t="s">
        <v>1549</v>
      </c>
      <c r="F27" s="586" t="s">
        <v>100</v>
      </c>
    </row>
    <row r="28" spans="1:6" ht="15">
      <c r="A28" s="579" t="s">
        <v>209</v>
      </c>
      <c r="B28" s="580" t="s">
        <v>210</v>
      </c>
      <c r="C28" s="589">
        <v>12770.65</v>
      </c>
      <c r="D28" s="581">
        <v>290811.75</v>
      </c>
      <c r="E28" s="580" t="s">
        <v>1549</v>
      </c>
      <c r="F28" s="582" t="s">
        <v>100</v>
      </c>
    </row>
    <row r="29" spans="1:6" ht="15">
      <c r="A29" s="583" t="s">
        <v>211</v>
      </c>
      <c r="B29" s="584" t="s">
        <v>212</v>
      </c>
      <c r="C29" s="590">
        <v>0</v>
      </c>
      <c r="D29" s="585">
        <v>0</v>
      </c>
      <c r="E29" s="584" t="s">
        <v>1549</v>
      </c>
      <c r="F29" s="586" t="s">
        <v>100</v>
      </c>
    </row>
    <row r="30" spans="1:6" ht="15">
      <c r="A30" s="579" t="s">
        <v>213</v>
      </c>
      <c r="B30" s="580" t="s">
        <v>214</v>
      </c>
      <c r="C30" s="589">
        <v>3634</v>
      </c>
      <c r="D30" s="581">
        <v>8444.86</v>
      </c>
      <c r="E30" s="580" t="s">
        <v>1549</v>
      </c>
      <c r="F30" s="582" t="s">
        <v>100</v>
      </c>
    </row>
    <row r="31" spans="1:6" ht="15">
      <c r="A31" s="583" t="s">
        <v>215</v>
      </c>
      <c r="B31" s="584" t="s">
        <v>216</v>
      </c>
      <c r="C31" s="590">
        <v>0</v>
      </c>
      <c r="D31" s="585">
        <v>5000</v>
      </c>
      <c r="E31" s="584" t="s">
        <v>1549</v>
      </c>
      <c r="F31" s="586" t="s">
        <v>100</v>
      </c>
    </row>
    <row r="32" spans="1:6" ht="15">
      <c r="A32" s="579" t="s">
        <v>217</v>
      </c>
      <c r="B32" s="580" t="s">
        <v>218</v>
      </c>
      <c r="C32" s="589">
        <v>16108.1</v>
      </c>
      <c r="D32" s="581">
        <v>19283.04</v>
      </c>
      <c r="E32" s="580" t="s">
        <v>1549</v>
      </c>
      <c r="F32" s="582" t="s">
        <v>100</v>
      </c>
    </row>
    <row r="33" spans="1:6" ht="15">
      <c r="A33" s="583" t="s">
        <v>219</v>
      </c>
      <c r="B33" s="584" t="s">
        <v>220</v>
      </c>
      <c r="C33" s="590">
        <v>17484.560000000001</v>
      </c>
      <c r="D33" s="585">
        <v>36500.26</v>
      </c>
      <c r="E33" s="584" t="s">
        <v>1549</v>
      </c>
      <c r="F33" s="586" t="s">
        <v>100</v>
      </c>
    </row>
    <row r="34" spans="1:6" ht="15">
      <c r="A34" s="579" t="s">
        <v>221</v>
      </c>
      <c r="B34" s="580" t="s">
        <v>222</v>
      </c>
      <c r="C34" s="589">
        <v>-104652.55</v>
      </c>
      <c r="D34" s="581">
        <v>-410720.69</v>
      </c>
      <c r="E34" s="580" t="s">
        <v>1550</v>
      </c>
      <c r="F34" s="582" t="s">
        <v>223</v>
      </c>
    </row>
    <row r="35" spans="1:6" ht="15">
      <c r="A35" s="583" t="s">
        <v>224</v>
      </c>
      <c r="B35" s="584" t="s">
        <v>225</v>
      </c>
      <c r="C35" s="590">
        <v>0</v>
      </c>
      <c r="D35" s="585">
        <v>0</v>
      </c>
      <c r="E35" s="584" t="s">
        <v>1548</v>
      </c>
      <c r="F35" s="586" t="s">
        <v>100</v>
      </c>
    </row>
    <row r="36" spans="1:6" ht="15">
      <c r="A36" s="579" t="s">
        <v>226</v>
      </c>
      <c r="B36" s="580" t="s">
        <v>227</v>
      </c>
      <c r="C36" s="589">
        <v>0</v>
      </c>
      <c r="D36" s="581">
        <v>-2546700</v>
      </c>
      <c r="E36" s="580" t="s">
        <v>1549</v>
      </c>
      <c r="F36" s="582" t="s">
        <v>100</v>
      </c>
    </row>
    <row r="37" spans="1:6" ht="15">
      <c r="A37" s="583" t="s">
        <v>228</v>
      </c>
      <c r="B37" s="584" t="s">
        <v>229</v>
      </c>
      <c r="C37" s="590">
        <v>0</v>
      </c>
      <c r="D37" s="585">
        <v>146250</v>
      </c>
      <c r="E37" s="584" t="s">
        <v>1549</v>
      </c>
      <c r="F37" s="586" t="s">
        <v>100</v>
      </c>
    </row>
    <row r="38" spans="1:6" ht="15">
      <c r="A38" s="579" t="s">
        <v>230</v>
      </c>
      <c r="B38" s="580" t="s">
        <v>1555</v>
      </c>
      <c r="C38" s="589">
        <v>0</v>
      </c>
      <c r="D38" s="581">
        <v>30668.080000000002</v>
      </c>
      <c r="E38" s="580" t="s">
        <v>1549</v>
      </c>
      <c r="F38" s="582" t="s">
        <v>100</v>
      </c>
    </row>
    <row r="39" spans="1:6" ht="15">
      <c r="A39" s="583" t="s">
        <v>232</v>
      </c>
      <c r="B39" s="584" t="s">
        <v>233</v>
      </c>
      <c r="C39" s="590">
        <v>0</v>
      </c>
      <c r="D39" s="585">
        <v>251666.5</v>
      </c>
      <c r="E39" s="584" t="s">
        <v>1549</v>
      </c>
      <c r="F39" s="586" t="s">
        <v>100</v>
      </c>
    </row>
    <row r="40" spans="1:6" ht="15">
      <c r="A40" s="579" t="s">
        <v>234</v>
      </c>
      <c r="B40" s="580" t="s">
        <v>235</v>
      </c>
      <c r="C40" s="589">
        <v>0</v>
      </c>
      <c r="D40" s="581">
        <v>-15925.1</v>
      </c>
      <c r="E40" s="580" t="s">
        <v>1549</v>
      </c>
      <c r="F40" s="582" t="s">
        <v>100</v>
      </c>
    </row>
    <row r="41" spans="1:6" ht="15">
      <c r="A41" s="583" t="s">
        <v>236</v>
      </c>
      <c r="B41" s="584" t="s">
        <v>237</v>
      </c>
      <c r="C41" s="590">
        <v>0</v>
      </c>
      <c r="D41" s="585">
        <v>11500</v>
      </c>
      <c r="E41" s="584" t="s">
        <v>1549</v>
      </c>
      <c r="F41" s="586" t="s">
        <v>100</v>
      </c>
    </row>
    <row r="42" spans="1:6" ht="15">
      <c r="A42" s="579" t="s">
        <v>238</v>
      </c>
      <c r="B42" s="580" t="s">
        <v>239</v>
      </c>
      <c r="C42" s="589">
        <v>0</v>
      </c>
      <c r="D42" s="581">
        <v>2028833.52</v>
      </c>
      <c r="E42" s="580" t="s">
        <v>1549</v>
      </c>
      <c r="F42" s="582" t="s">
        <v>100</v>
      </c>
    </row>
    <row r="43" spans="1:6" ht="15">
      <c r="A43" s="583" t="s">
        <v>240</v>
      </c>
      <c r="B43" s="584" t="s">
        <v>241</v>
      </c>
      <c r="C43" s="590">
        <v>0</v>
      </c>
      <c r="D43" s="585">
        <v>-93707</v>
      </c>
      <c r="E43" s="584" t="s">
        <v>1550</v>
      </c>
      <c r="F43" s="586" t="s">
        <v>242</v>
      </c>
    </row>
    <row r="44" spans="1:6" ht="15">
      <c r="A44" s="579" t="s">
        <v>243</v>
      </c>
      <c r="B44" s="580" t="s">
        <v>244</v>
      </c>
      <c r="C44" s="589">
        <v>0</v>
      </c>
      <c r="D44" s="581">
        <v>0</v>
      </c>
      <c r="E44" s="580" t="s">
        <v>1548</v>
      </c>
      <c r="F44" s="582" t="s">
        <v>100</v>
      </c>
    </row>
    <row r="45" spans="1:6" ht="15">
      <c r="A45" s="583" t="s">
        <v>245</v>
      </c>
      <c r="B45" s="584" t="s">
        <v>246</v>
      </c>
      <c r="C45" s="590">
        <v>0</v>
      </c>
      <c r="D45" s="585">
        <v>-368179.49</v>
      </c>
      <c r="E45" s="584" t="s">
        <v>1549</v>
      </c>
      <c r="F45" s="586" t="s">
        <v>100</v>
      </c>
    </row>
    <row r="46" spans="1:6" ht="15">
      <c r="A46" s="579" t="s">
        <v>247</v>
      </c>
      <c r="B46" s="580" t="s">
        <v>248</v>
      </c>
      <c r="C46" s="589">
        <v>0</v>
      </c>
      <c r="D46" s="581">
        <v>-368179.49</v>
      </c>
      <c r="E46" s="580" t="s">
        <v>1550</v>
      </c>
      <c r="F46" s="582" t="s">
        <v>249</v>
      </c>
    </row>
    <row r="47" spans="1:6" ht="15">
      <c r="A47" s="583" t="s">
        <v>250</v>
      </c>
      <c r="B47" s="584" t="s">
        <v>251</v>
      </c>
      <c r="C47" s="590">
        <v>-104652.55</v>
      </c>
      <c r="D47" s="585">
        <v>-872607.18</v>
      </c>
      <c r="E47" s="584" t="s">
        <v>1550</v>
      </c>
      <c r="F47" s="586" t="s">
        <v>252</v>
      </c>
    </row>
    <row r="48" spans="1:6" ht="15">
      <c r="A48" s="579" t="s">
        <v>253</v>
      </c>
      <c r="B48" s="580" t="s">
        <v>254</v>
      </c>
      <c r="C48" s="589">
        <v>0</v>
      </c>
      <c r="D48" s="581">
        <v>0</v>
      </c>
      <c r="E48" s="580" t="s">
        <v>1548</v>
      </c>
      <c r="F48" s="582" t="s">
        <v>100</v>
      </c>
    </row>
    <row r="49" spans="1:6" ht="15">
      <c r="A49" s="583" t="s">
        <v>255</v>
      </c>
      <c r="B49" s="584" t="s">
        <v>256</v>
      </c>
      <c r="C49" s="590">
        <v>0</v>
      </c>
      <c r="D49" s="585">
        <v>0</v>
      </c>
      <c r="E49" s="584" t="s">
        <v>1549</v>
      </c>
      <c r="F49" s="586" t="s">
        <v>100</v>
      </c>
    </row>
    <row r="50" spans="1:6" ht="15">
      <c r="A50" s="579" t="s">
        <v>257</v>
      </c>
      <c r="B50" s="580" t="s">
        <v>258</v>
      </c>
      <c r="C50" s="589">
        <v>0</v>
      </c>
      <c r="D50" s="581">
        <v>0</v>
      </c>
      <c r="E50" s="580" t="s">
        <v>1549</v>
      </c>
      <c r="F50" s="582" t="s">
        <v>100</v>
      </c>
    </row>
    <row r="51" spans="1:6" ht="15">
      <c r="A51" s="583" t="s">
        <v>259</v>
      </c>
      <c r="B51" s="584" t="s">
        <v>1556</v>
      </c>
      <c r="C51" s="590">
        <v>0</v>
      </c>
      <c r="D51" s="585">
        <v>30429.18</v>
      </c>
      <c r="E51" s="584" t="s">
        <v>1549</v>
      </c>
      <c r="F51" s="586" t="s">
        <v>100</v>
      </c>
    </row>
    <row r="52" spans="1:6" ht="15">
      <c r="A52" s="579" t="s">
        <v>261</v>
      </c>
      <c r="B52" s="580" t="s">
        <v>262</v>
      </c>
      <c r="C52" s="589">
        <v>0</v>
      </c>
      <c r="D52" s="581">
        <v>0</v>
      </c>
      <c r="E52" s="580" t="s">
        <v>1549</v>
      </c>
      <c r="F52" s="582" t="s">
        <v>100</v>
      </c>
    </row>
    <row r="53" spans="1:6" ht="15">
      <c r="A53" s="583" t="s">
        <v>263</v>
      </c>
      <c r="B53" s="584" t="s">
        <v>264</v>
      </c>
      <c r="C53" s="590">
        <v>0</v>
      </c>
      <c r="D53" s="585">
        <v>-2316.56</v>
      </c>
      <c r="E53" s="584" t="s">
        <v>1549</v>
      </c>
      <c r="F53" s="586" t="s">
        <v>100</v>
      </c>
    </row>
    <row r="54" spans="1:6" ht="15">
      <c r="A54" s="579" t="s">
        <v>265</v>
      </c>
      <c r="B54" s="580" t="s">
        <v>266</v>
      </c>
      <c r="C54" s="589">
        <v>27942.07</v>
      </c>
      <c r="D54" s="581">
        <v>73115.679999999993</v>
      </c>
      <c r="E54" s="580" t="s">
        <v>1549</v>
      </c>
      <c r="F54" s="582" t="s">
        <v>100</v>
      </c>
    </row>
    <row r="55" spans="1:6" ht="15">
      <c r="A55" s="583" t="s">
        <v>267</v>
      </c>
      <c r="B55" s="584" t="s">
        <v>268</v>
      </c>
      <c r="C55" s="590">
        <v>0</v>
      </c>
      <c r="D55" s="585">
        <v>-30000</v>
      </c>
      <c r="E55" s="584" t="s">
        <v>1549</v>
      </c>
      <c r="F55" s="586" t="s">
        <v>100</v>
      </c>
    </row>
    <row r="56" spans="1:6" ht="15">
      <c r="A56" s="579" t="s">
        <v>269</v>
      </c>
      <c r="B56" s="580" t="s">
        <v>270</v>
      </c>
      <c r="C56" s="589">
        <v>-16832</v>
      </c>
      <c r="D56" s="581">
        <v>-30297.599999999999</v>
      </c>
      <c r="E56" s="580" t="s">
        <v>1549</v>
      </c>
      <c r="F56" s="582" t="s">
        <v>100</v>
      </c>
    </row>
    <row r="57" spans="1:6" ht="15">
      <c r="A57" s="583" t="s">
        <v>271</v>
      </c>
      <c r="B57" s="584" t="s">
        <v>272</v>
      </c>
      <c r="C57" s="590">
        <v>0</v>
      </c>
      <c r="D57" s="585">
        <v>0</v>
      </c>
      <c r="E57" s="584" t="s">
        <v>1549</v>
      </c>
      <c r="F57" s="586" t="s">
        <v>100</v>
      </c>
    </row>
    <row r="58" spans="1:6" ht="15">
      <c r="A58" s="579" t="s">
        <v>273</v>
      </c>
      <c r="B58" s="580" t="s">
        <v>274</v>
      </c>
      <c r="C58" s="589">
        <v>0</v>
      </c>
      <c r="D58" s="581">
        <v>183.6</v>
      </c>
      <c r="E58" s="580" t="s">
        <v>1549</v>
      </c>
      <c r="F58" s="582" t="s">
        <v>100</v>
      </c>
    </row>
    <row r="59" spans="1:6" ht="15">
      <c r="A59" s="583" t="s">
        <v>275</v>
      </c>
      <c r="B59" s="584" t="s">
        <v>254</v>
      </c>
      <c r="C59" s="590">
        <v>11110.07</v>
      </c>
      <c r="D59" s="585">
        <v>41114.300000000003</v>
      </c>
      <c r="E59" s="584" t="s">
        <v>1550</v>
      </c>
      <c r="F59" s="586" t="s">
        <v>276</v>
      </c>
    </row>
    <row r="60" spans="1:6" ht="15">
      <c r="A60" s="579" t="s">
        <v>277</v>
      </c>
      <c r="B60" s="580" t="s">
        <v>278</v>
      </c>
      <c r="C60" s="589">
        <v>-2072773.09</v>
      </c>
      <c r="D60" s="581">
        <v>-19119987.16</v>
      </c>
      <c r="E60" s="580" t="s">
        <v>1550</v>
      </c>
      <c r="F60" s="582" t="s">
        <v>279</v>
      </c>
    </row>
    <row r="61" spans="1:6" ht="15">
      <c r="A61" s="583" t="s">
        <v>280</v>
      </c>
      <c r="B61" s="584" t="s">
        <v>281</v>
      </c>
      <c r="C61" s="590">
        <v>0</v>
      </c>
      <c r="D61" s="585">
        <v>0</v>
      </c>
      <c r="E61" s="584" t="s">
        <v>1548</v>
      </c>
      <c r="F61" s="586" t="s">
        <v>100</v>
      </c>
    </row>
    <row r="62" spans="1:6" ht="15">
      <c r="A62" s="579" t="s">
        <v>282</v>
      </c>
      <c r="B62" s="580" t="s">
        <v>281</v>
      </c>
      <c r="C62" s="589">
        <v>0</v>
      </c>
      <c r="D62" s="581">
        <v>0</v>
      </c>
      <c r="E62" s="580" t="s">
        <v>1548</v>
      </c>
      <c r="F62" s="582" t="s">
        <v>100</v>
      </c>
    </row>
    <row r="63" spans="1:6" ht="15">
      <c r="A63" s="583" t="s">
        <v>283</v>
      </c>
      <c r="B63" s="584" t="s">
        <v>284</v>
      </c>
      <c r="C63" s="590">
        <v>0</v>
      </c>
      <c r="D63" s="585">
        <v>0</v>
      </c>
      <c r="E63" s="584" t="s">
        <v>1548</v>
      </c>
      <c r="F63" s="586" t="s">
        <v>100</v>
      </c>
    </row>
    <row r="64" spans="1:6" ht="15">
      <c r="A64" s="579" t="s">
        <v>285</v>
      </c>
      <c r="B64" s="580" t="s">
        <v>286</v>
      </c>
      <c r="C64" s="589">
        <v>0</v>
      </c>
      <c r="D64" s="581">
        <v>0</v>
      </c>
      <c r="E64" s="580" t="s">
        <v>1548</v>
      </c>
      <c r="F64" s="582" t="s">
        <v>100</v>
      </c>
    </row>
    <row r="65" spans="1:6" ht="15">
      <c r="A65" s="583" t="s">
        <v>287</v>
      </c>
      <c r="B65" s="584" t="s">
        <v>288</v>
      </c>
      <c r="C65" s="590">
        <v>2106814.17</v>
      </c>
      <c r="D65" s="585">
        <v>11633417.460000001</v>
      </c>
      <c r="E65" s="584" t="s">
        <v>1549</v>
      </c>
      <c r="F65" s="586" t="s">
        <v>100</v>
      </c>
    </row>
    <row r="66" spans="1:6" ht="15">
      <c r="A66" s="579" t="s">
        <v>289</v>
      </c>
      <c r="B66" s="580" t="s">
        <v>1557</v>
      </c>
      <c r="C66" s="589">
        <v>0</v>
      </c>
      <c r="D66" s="581">
        <v>0</v>
      </c>
      <c r="E66" s="580" t="s">
        <v>1549</v>
      </c>
      <c r="F66" s="582" t="s">
        <v>100</v>
      </c>
    </row>
    <row r="67" spans="1:6" ht="15">
      <c r="A67" s="583" t="s">
        <v>291</v>
      </c>
      <c r="B67" s="584" t="s">
        <v>292</v>
      </c>
      <c r="C67" s="590">
        <v>0</v>
      </c>
      <c r="D67" s="585">
        <v>0</v>
      </c>
      <c r="E67" s="584" t="s">
        <v>1549</v>
      </c>
      <c r="F67" s="586" t="s">
        <v>100</v>
      </c>
    </row>
    <row r="68" spans="1:6" ht="15">
      <c r="A68" s="579" t="s">
        <v>293</v>
      </c>
      <c r="B68" s="580" t="s">
        <v>294</v>
      </c>
      <c r="C68" s="589">
        <v>-88416</v>
      </c>
      <c r="D68" s="581">
        <v>-534644.65</v>
      </c>
      <c r="E68" s="580" t="s">
        <v>1549</v>
      </c>
      <c r="F68" s="582" t="s">
        <v>100</v>
      </c>
    </row>
    <row r="69" spans="1:6" ht="15">
      <c r="A69" s="583" t="s">
        <v>295</v>
      </c>
      <c r="B69" s="584" t="s">
        <v>296</v>
      </c>
      <c r="C69" s="590">
        <v>117257.08</v>
      </c>
      <c r="D69" s="585">
        <v>652002.98</v>
      </c>
      <c r="E69" s="584" t="s">
        <v>1549</v>
      </c>
      <c r="F69" s="586" t="s">
        <v>100</v>
      </c>
    </row>
    <row r="70" spans="1:6" ht="15">
      <c r="A70" s="579" t="s">
        <v>297</v>
      </c>
      <c r="B70" s="580" t="s">
        <v>298</v>
      </c>
      <c r="C70" s="589">
        <v>262050.69</v>
      </c>
      <c r="D70" s="581">
        <v>1333555.2</v>
      </c>
      <c r="E70" s="580" t="s">
        <v>1549</v>
      </c>
      <c r="F70" s="582" t="s">
        <v>100</v>
      </c>
    </row>
    <row r="71" spans="1:6" ht="15">
      <c r="A71" s="583" t="s">
        <v>299</v>
      </c>
      <c r="B71" s="584" t="s">
        <v>300</v>
      </c>
      <c r="C71" s="590">
        <v>9096</v>
      </c>
      <c r="D71" s="585">
        <v>157847.64000000001</v>
      </c>
      <c r="E71" s="584" t="s">
        <v>1549</v>
      </c>
      <c r="F71" s="586" t="s">
        <v>100</v>
      </c>
    </row>
    <row r="72" spans="1:6" ht="15">
      <c r="A72" s="579" t="s">
        <v>301</v>
      </c>
      <c r="B72" s="580" t="s">
        <v>302</v>
      </c>
      <c r="C72" s="589">
        <v>222690.83</v>
      </c>
      <c r="D72" s="581">
        <v>281331.28000000003</v>
      </c>
      <c r="E72" s="580" t="s">
        <v>1549</v>
      </c>
      <c r="F72" s="582" t="s">
        <v>100</v>
      </c>
    </row>
    <row r="73" spans="1:6" ht="15">
      <c r="A73" s="583" t="s">
        <v>303</v>
      </c>
      <c r="B73" s="584" t="s">
        <v>304</v>
      </c>
      <c r="C73" s="590">
        <v>-109945.98</v>
      </c>
      <c r="D73" s="585">
        <v>-1784877.71</v>
      </c>
      <c r="E73" s="584" t="s">
        <v>1549</v>
      </c>
      <c r="F73" s="586" t="s">
        <v>100</v>
      </c>
    </row>
    <row r="74" spans="1:6" ht="15">
      <c r="A74" s="579" t="s">
        <v>305</v>
      </c>
      <c r="B74" s="580" t="s">
        <v>306</v>
      </c>
      <c r="C74" s="589">
        <v>17419.259999999998</v>
      </c>
      <c r="D74" s="581">
        <v>94007.49</v>
      </c>
      <c r="E74" s="580" t="s">
        <v>1549</v>
      </c>
      <c r="F74" s="582" t="s">
        <v>100</v>
      </c>
    </row>
    <row r="75" spans="1:6" ht="15">
      <c r="A75" s="583" t="s">
        <v>307</v>
      </c>
      <c r="B75" s="584" t="s">
        <v>308</v>
      </c>
      <c r="C75" s="590">
        <v>-774.99</v>
      </c>
      <c r="D75" s="585">
        <v>-5774.99</v>
      </c>
      <c r="E75" s="584" t="s">
        <v>1549</v>
      </c>
      <c r="F75" s="586" t="s">
        <v>100</v>
      </c>
    </row>
    <row r="76" spans="1:6" ht="15">
      <c r="A76" s="579" t="s">
        <v>309</v>
      </c>
      <c r="B76" s="580" t="s">
        <v>1558</v>
      </c>
      <c r="C76" s="589">
        <v>0</v>
      </c>
      <c r="D76" s="581">
        <v>84820.12</v>
      </c>
      <c r="E76" s="580" t="s">
        <v>1549</v>
      </c>
      <c r="F76" s="582" t="s">
        <v>100</v>
      </c>
    </row>
    <row r="77" spans="1:6" ht="15">
      <c r="A77" s="583" t="s">
        <v>311</v>
      </c>
      <c r="B77" s="584" t="s">
        <v>312</v>
      </c>
      <c r="C77" s="590">
        <v>2536191.06</v>
      </c>
      <c r="D77" s="585">
        <v>11911684.82</v>
      </c>
      <c r="E77" s="584" t="s">
        <v>1550</v>
      </c>
      <c r="F77" s="586" t="s">
        <v>313</v>
      </c>
    </row>
    <row r="78" spans="1:6" ht="15">
      <c r="A78" s="579" t="s">
        <v>314</v>
      </c>
      <c r="B78" s="580" t="s">
        <v>315</v>
      </c>
      <c r="C78" s="589">
        <v>0</v>
      </c>
      <c r="D78" s="581">
        <v>0</v>
      </c>
      <c r="E78" s="580" t="s">
        <v>1548</v>
      </c>
      <c r="F78" s="582" t="s">
        <v>100</v>
      </c>
    </row>
    <row r="79" spans="1:6" ht="15">
      <c r="A79" s="583" t="s">
        <v>316</v>
      </c>
      <c r="B79" s="584" t="s">
        <v>317</v>
      </c>
      <c r="C79" s="590">
        <v>71778.37</v>
      </c>
      <c r="D79" s="585">
        <v>441009.7</v>
      </c>
      <c r="E79" s="584" t="s">
        <v>1549</v>
      </c>
      <c r="F79" s="586" t="s">
        <v>100</v>
      </c>
    </row>
    <row r="80" spans="1:6" ht="15">
      <c r="A80" s="579" t="s">
        <v>1559</v>
      </c>
      <c r="B80" s="580" t="s">
        <v>1560</v>
      </c>
      <c r="C80" s="589">
        <v>9697.1</v>
      </c>
      <c r="D80" s="581">
        <v>9931.1</v>
      </c>
      <c r="E80" s="580" t="s">
        <v>1549</v>
      </c>
      <c r="F80" s="582" t="s">
        <v>100</v>
      </c>
    </row>
    <row r="81" spans="1:6" ht="15">
      <c r="A81" s="583" t="s">
        <v>318</v>
      </c>
      <c r="B81" s="584" t="s">
        <v>319</v>
      </c>
      <c r="C81" s="590">
        <v>0</v>
      </c>
      <c r="D81" s="585">
        <v>0</v>
      </c>
      <c r="E81" s="584" t="s">
        <v>1549</v>
      </c>
      <c r="F81" s="586" t="s">
        <v>100</v>
      </c>
    </row>
    <row r="82" spans="1:6" ht="15">
      <c r="A82" s="579" t="s">
        <v>320</v>
      </c>
      <c r="B82" s="580" t="s">
        <v>1561</v>
      </c>
      <c r="C82" s="589">
        <v>1405</v>
      </c>
      <c r="D82" s="581">
        <v>175397.19</v>
      </c>
      <c r="E82" s="580" t="s">
        <v>1549</v>
      </c>
      <c r="F82" s="582" t="s">
        <v>100</v>
      </c>
    </row>
    <row r="83" spans="1:6" ht="15">
      <c r="A83" s="583" t="s">
        <v>322</v>
      </c>
      <c r="B83" s="584" t="s">
        <v>1562</v>
      </c>
      <c r="C83" s="590">
        <v>17741.310000000001</v>
      </c>
      <c r="D83" s="585">
        <v>55181.58</v>
      </c>
      <c r="E83" s="584" t="s">
        <v>1549</v>
      </c>
      <c r="F83" s="586" t="s">
        <v>100</v>
      </c>
    </row>
    <row r="84" spans="1:6" ht="15">
      <c r="A84" s="579" t="s">
        <v>324</v>
      </c>
      <c r="B84" s="580" t="s">
        <v>325</v>
      </c>
      <c r="C84" s="589">
        <v>702.37</v>
      </c>
      <c r="D84" s="581">
        <v>25189.14</v>
      </c>
      <c r="E84" s="580" t="s">
        <v>1549</v>
      </c>
      <c r="F84" s="582" t="s">
        <v>100</v>
      </c>
    </row>
    <row r="85" spans="1:6" ht="15">
      <c r="A85" s="583" t="s">
        <v>328</v>
      </c>
      <c r="B85" s="584" t="s">
        <v>329</v>
      </c>
      <c r="C85" s="590">
        <v>101324.15</v>
      </c>
      <c r="D85" s="585">
        <v>706708.71</v>
      </c>
      <c r="E85" s="584" t="s">
        <v>1550</v>
      </c>
      <c r="F85" s="586" t="s">
        <v>330</v>
      </c>
    </row>
    <row r="86" spans="1:6" ht="15">
      <c r="A86" s="579" t="s">
        <v>331</v>
      </c>
      <c r="B86" s="580" t="s">
        <v>332</v>
      </c>
      <c r="C86" s="589">
        <v>0</v>
      </c>
      <c r="D86" s="581">
        <v>0</v>
      </c>
      <c r="E86" s="580" t="s">
        <v>1548</v>
      </c>
      <c r="F86" s="582" t="s">
        <v>100</v>
      </c>
    </row>
    <row r="87" spans="1:6" ht="15">
      <c r="A87" s="583" t="s">
        <v>333</v>
      </c>
      <c r="B87" s="584" t="s">
        <v>334</v>
      </c>
      <c r="C87" s="590">
        <v>4118.75</v>
      </c>
      <c r="D87" s="585">
        <v>175303.62</v>
      </c>
      <c r="E87" s="584" t="s">
        <v>1549</v>
      </c>
      <c r="F87" s="586" t="s">
        <v>100</v>
      </c>
    </row>
    <row r="88" spans="1:6" ht="15">
      <c r="A88" s="579" t="s">
        <v>335</v>
      </c>
      <c r="B88" s="580" t="s">
        <v>336</v>
      </c>
      <c r="C88" s="589">
        <v>61262.89</v>
      </c>
      <c r="D88" s="581">
        <v>194728.35</v>
      </c>
      <c r="E88" s="580" t="s">
        <v>1549</v>
      </c>
      <c r="F88" s="582" t="s">
        <v>100</v>
      </c>
    </row>
    <row r="89" spans="1:6" ht="15">
      <c r="A89" s="583" t="s">
        <v>337</v>
      </c>
      <c r="B89" s="584" t="s">
        <v>338</v>
      </c>
      <c r="C89" s="590">
        <v>65381.64</v>
      </c>
      <c r="D89" s="585">
        <v>370031.97</v>
      </c>
      <c r="E89" s="584" t="s">
        <v>1550</v>
      </c>
      <c r="F89" s="586" t="s">
        <v>339</v>
      </c>
    </row>
    <row r="90" spans="1:6" ht="15">
      <c r="A90" s="579" t="s">
        <v>340</v>
      </c>
      <c r="B90" s="580" t="s">
        <v>341</v>
      </c>
      <c r="C90" s="589">
        <v>2702896.85</v>
      </c>
      <c r="D90" s="581">
        <v>12988425.5</v>
      </c>
      <c r="E90" s="580" t="s">
        <v>1550</v>
      </c>
      <c r="F90" s="582" t="s">
        <v>342</v>
      </c>
    </row>
    <row r="91" spans="1:6" ht="15">
      <c r="A91" s="583" t="s">
        <v>343</v>
      </c>
      <c r="B91" s="584" t="s">
        <v>344</v>
      </c>
      <c r="C91" s="590">
        <v>0</v>
      </c>
      <c r="D91" s="585">
        <v>0</v>
      </c>
      <c r="E91" s="584" t="s">
        <v>1548</v>
      </c>
      <c r="F91" s="586" t="s">
        <v>100</v>
      </c>
    </row>
    <row r="92" spans="1:6" ht="15">
      <c r="A92" s="579" t="s">
        <v>345</v>
      </c>
      <c r="B92" s="580" t="s">
        <v>346</v>
      </c>
      <c r="C92" s="589">
        <v>346.65</v>
      </c>
      <c r="D92" s="581">
        <v>10537.27</v>
      </c>
      <c r="E92" s="580" t="s">
        <v>1549</v>
      </c>
      <c r="F92" s="582" t="s">
        <v>100</v>
      </c>
    </row>
    <row r="93" spans="1:6" ht="15">
      <c r="A93" s="583" t="s">
        <v>347</v>
      </c>
      <c r="B93" s="584" t="s">
        <v>348</v>
      </c>
      <c r="C93" s="590">
        <v>21622.85</v>
      </c>
      <c r="D93" s="585">
        <v>231561.94</v>
      </c>
      <c r="E93" s="584" t="s">
        <v>1549</v>
      </c>
      <c r="F93" s="586" t="s">
        <v>100</v>
      </c>
    </row>
    <row r="94" spans="1:6" ht="15">
      <c r="A94" s="579" t="s">
        <v>349</v>
      </c>
      <c r="B94" s="580" t="s">
        <v>350</v>
      </c>
      <c r="C94" s="589">
        <v>0</v>
      </c>
      <c r="D94" s="581">
        <v>0</v>
      </c>
      <c r="E94" s="580" t="s">
        <v>1549</v>
      </c>
      <c r="F94" s="582" t="s">
        <v>100</v>
      </c>
    </row>
    <row r="95" spans="1:6" ht="15">
      <c r="A95" s="583" t="s">
        <v>351</v>
      </c>
      <c r="B95" s="584" t="s">
        <v>352</v>
      </c>
      <c r="C95" s="590">
        <v>0</v>
      </c>
      <c r="D95" s="585">
        <v>0</v>
      </c>
      <c r="E95" s="584" t="s">
        <v>1549</v>
      </c>
      <c r="F95" s="586" t="s">
        <v>100</v>
      </c>
    </row>
    <row r="96" spans="1:6" ht="15">
      <c r="A96" s="579" t="s">
        <v>353</v>
      </c>
      <c r="B96" s="580" t="s">
        <v>1527</v>
      </c>
      <c r="C96" s="589">
        <v>152651.57</v>
      </c>
      <c r="D96" s="581">
        <v>1342548.49</v>
      </c>
      <c r="E96" s="580" t="s">
        <v>1549</v>
      </c>
      <c r="F96" s="582" t="s">
        <v>100</v>
      </c>
    </row>
    <row r="97" spans="1:6" ht="15">
      <c r="A97" s="583" t="s">
        <v>355</v>
      </c>
      <c r="B97" s="584" t="s">
        <v>1563</v>
      </c>
      <c r="C97" s="590">
        <v>0</v>
      </c>
      <c r="D97" s="585">
        <v>2661.65</v>
      </c>
      <c r="E97" s="584" t="s">
        <v>1549</v>
      </c>
      <c r="F97" s="586" t="s">
        <v>100</v>
      </c>
    </row>
    <row r="98" spans="1:6" ht="15">
      <c r="A98" s="579" t="s">
        <v>357</v>
      </c>
      <c r="B98" s="580" t="s">
        <v>1564</v>
      </c>
      <c r="C98" s="589">
        <v>0</v>
      </c>
      <c r="D98" s="581">
        <v>0</v>
      </c>
      <c r="E98" s="580" t="s">
        <v>1549</v>
      </c>
      <c r="F98" s="582" t="s">
        <v>100</v>
      </c>
    </row>
    <row r="99" spans="1:6" ht="15">
      <c r="A99" s="583" t="s">
        <v>359</v>
      </c>
      <c r="B99" s="584" t="s">
        <v>360</v>
      </c>
      <c r="C99" s="590">
        <v>3017.6</v>
      </c>
      <c r="D99" s="585">
        <v>13664.25</v>
      </c>
      <c r="E99" s="584" t="s">
        <v>1549</v>
      </c>
      <c r="F99" s="586" t="s">
        <v>100</v>
      </c>
    </row>
    <row r="100" spans="1:6" ht="15">
      <c r="A100" s="579" t="s">
        <v>361</v>
      </c>
      <c r="B100" s="580" t="s">
        <v>362</v>
      </c>
      <c r="C100" s="589">
        <v>0</v>
      </c>
      <c r="D100" s="581">
        <v>0</v>
      </c>
      <c r="E100" s="580" t="s">
        <v>1549</v>
      </c>
      <c r="F100" s="582" t="s">
        <v>100</v>
      </c>
    </row>
    <row r="101" spans="1:6" ht="15">
      <c r="A101" s="583" t="s">
        <v>363</v>
      </c>
      <c r="B101" s="584" t="s">
        <v>364</v>
      </c>
      <c r="C101" s="590">
        <v>0</v>
      </c>
      <c r="D101" s="585">
        <v>0</v>
      </c>
      <c r="E101" s="584" t="s">
        <v>1549</v>
      </c>
      <c r="F101" s="586" t="s">
        <v>100</v>
      </c>
    </row>
    <row r="102" spans="1:6" ht="15">
      <c r="A102" s="579" t="s">
        <v>365</v>
      </c>
      <c r="B102" s="580" t="s">
        <v>1565</v>
      </c>
      <c r="C102" s="589">
        <v>0</v>
      </c>
      <c r="D102" s="581">
        <v>0</v>
      </c>
      <c r="E102" s="580" t="s">
        <v>1549</v>
      </c>
      <c r="F102" s="582" t="s">
        <v>100</v>
      </c>
    </row>
    <row r="103" spans="1:6" ht="15">
      <c r="A103" s="583" t="s">
        <v>367</v>
      </c>
      <c r="B103" s="584" t="s">
        <v>368</v>
      </c>
      <c r="C103" s="590">
        <v>177638.67</v>
      </c>
      <c r="D103" s="585">
        <v>1600973.6</v>
      </c>
      <c r="E103" s="584" t="s">
        <v>1550</v>
      </c>
      <c r="F103" s="586" t="s">
        <v>369</v>
      </c>
    </row>
    <row r="104" spans="1:6" ht="15">
      <c r="A104" s="579" t="s">
        <v>370</v>
      </c>
      <c r="B104" s="580" t="s">
        <v>371</v>
      </c>
      <c r="C104" s="589">
        <v>0</v>
      </c>
      <c r="D104" s="581">
        <v>0</v>
      </c>
      <c r="E104" s="580" t="s">
        <v>1548</v>
      </c>
      <c r="F104" s="582" t="s">
        <v>100</v>
      </c>
    </row>
    <row r="105" spans="1:6" ht="15">
      <c r="A105" s="583" t="s">
        <v>372</v>
      </c>
      <c r="B105" s="584" t="s">
        <v>373</v>
      </c>
      <c r="C105" s="590">
        <v>0</v>
      </c>
      <c r="D105" s="585">
        <v>0</v>
      </c>
      <c r="E105" s="584" t="s">
        <v>1548</v>
      </c>
      <c r="F105" s="586" t="s">
        <v>100</v>
      </c>
    </row>
    <row r="106" spans="1:6" ht="15">
      <c r="A106" s="579" t="s">
        <v>374</v>
      </c>
      <c r="B106" s="580" t="s">
        <v>375</v>
      </c>
      <c r="C106" s="589">
        <v>96971.77</v>
      </c>
      <c r="D106" s="581">
        <v>638322.65</v>
      </c>
      <c r="E106" s="580" t="s">
        <v>1549</v>
      </c>
      <c r="F106" s="582" t="s">
        <v>100</v>
      </c>
    </row>
    <row r="107" spans="1:6" ht="15">
      <c r="A107" s="583" t="s">
        <v>376</v>
      </c>
      <c r="B107" s="584" t="s">
        <v>377</v>
      </c>
      <c r="C107" s="590">
        <v>0</v>
      </c>
      <c r="D107" s="585">
        <v>0</v>
      </c>
      <c r="E107" s="584" t="s">
        <v>1549</v>
      </c>
      <c r="F107" s="586" t="s">
        <v>100</v>
      </c>
    </row>
    <row r="108" spans="1:6" ht="15">
      <c r="A108" s="579" t="s">
        <v>378</v>
      </c>
      <c r="B108" s="580" t="s">
        <v>379</v>
      </c>
      <c r="C108" s="589">
        <v>96971.77</v>
      </c>
      <c r="D108" s="581">
        <v>638322.65</v>
      </c>
      <c r="E108" s="580" t="s">
        <v>1550</v>
      </c>
      <c r="F108" s="582" t="s">
        <v>380</v>
      </c>
    </row>
    <row r="109" spans="1:6" ht="15">
      <c r="A109" s="583" t="s">
        <v>381</v>
      </c>
      <c r="B109" s="584" t="s">
        <v>382</v>
      </c>
      <c r="C109" s="590">
        <v>0</v>
      </c>
      <c r="D109" s="585">
        <v>0</v>
      </c>
      <c r="E109" s="584" t="s">
        <v>1548</v>
      </c>
      <c r="F109" s="586" t="s">
        <v>100</v>
      </c>
    </row>
    <row r="110" spans="1:6" ht="15">
      <c r="A110" s="579" t="s">
        <v>383</v>
      </c>
      <c r="B110" s="580" t="s">
        <v>384</v>
      </c>
      <c r="C110" s="589">
        <v>5804.27</v>
      </c>
      <c r="D110" s="581">
        <v>11350.27</v>
      </c>
      <c r="E110" s="580" t="s">
        <v>1549</v>
      </c>
      <c r="F110" s="582" t="s">
        <v>100</v>
      </c>
    </row>
    <row r="111" spans="1:6" ht="15">
      <c r="A111" s="583" t="s">
        <v>385</v>
      </c>
      <c r="B111" s="584" t="s">
        <v>386</v>
      </c>
      <c r="C111" s="590">
        <v>0</v>
      </c>
      <c r="D111" s="585">
        <v>105111.02</v>
      </c>
      <c r="E111" s="584" t="s">
        <v>1549</v>
      </c>
      <c r="F111" s="586" t="s">
        <v>100</v>
      </c>
    </row>
    <row r="112" spans="1:6" ht="15">
      <c r="A112" s="579" t="s">
        <v>389</v>
      </c>
      <c r="B112" s="580" t="s">
        <v>390</v>
      </c>
      <c r="C112" s="589">
        <v>0</v>
      </c>
      <c r="D112" s="581">
        <v>14437.95</v>
      </c>
      <c r="E112" s="580" t="s">
        <v>1549</v>
      </c>
      <c r="F112" s="582" t="s">
        <v>100</v>
      </c>
    </row>
    <row r="113" spans="1:6" ht="15">
      <c r="A113" s="583" t="s">
        <v>391</v>
      </c>
      <c r="B113" s="584" t="s">
        <v>392</v>
      </c>
      <c r="C113" s="590">
        <v>0</v>
      </c>
      <c r="D113" s="585">
        <v>0</v>
      </c>
      <c r="E113" s="584" t="s">
        <v>1549</v>
      </c>
      <c r="F113" s="586" t="s">
        <v>100</v>
      </c>
    </row>
    <row r="114" spans="1:6" ht="15">
      <c r="A114" s="579" t="s">
        <v>393</v>
      </c>
      <c r="B114" s="580" t="s">
        <v>1566</v>
      </c>
      <c r="C114" s="589">
        <v>0</v>
      </c>
      <c r="D114" s="581">
        <v>0</v>
      </c>
      <c r="E114" s="580" t="s">
        <v>1549</v>
      </c>
      <c r="F114" s="582" t="s">
        <v>100</v>
      </c>
    </row>
    <row r="115" spans="1:6" ht="15">
      <c r="A115" s="583" t="s">
        <v>395</v>
      </c>
      <c r="B115" s="584" t="s">
        <v>1567</v>
      </c>
      <c r="C115" s="590">
        <v>0</v>
      </c>
      <c r="D115" s="585">
        <v>7956</v>
      </c>
      <c r="E115" s="584" t="s">
        <v>1549</v>
      </c>
      <c r="F115" s="586" t="s">
        <v>100</v>
      </c>
    </row>
    <row r="116" spans="1:6" ht="15">
      <c r="A116" s="579" t="s">
        <v>397</v>
      </c>
      <c r="B116" s="580" t="s">
        <v>1568</v>
      </c>
      <c r="C116" s="589">
        <v>3397</v>
      </c>
      <c r="D116" s="581">
        <v>69742.850000000006</v>
      </c>
      <c r="E116" s="580" t="s">
        <v>1549</v>
      </c>
      <c r="F116" s="582" t="s">
        <v>100</v>
      </c>
    </row>
    <row r="117" spans="1:6" ht="15">
      <c r="A117" s="583" t="s">
        <v>399</v>
      </c>
      <c r="B117" s="584" t="s">
        <v>400</v>
      </c>
      <c r="C117" s="590">
        <v>852.13</v>
      </c>
      <c r="D117" s="585">
        <v>-65424.3</v>
      </c>
      <c r="E117" s="584" t="s">
        <v>1549</v>
      </c>
      <c r="F117" s="586" t="s">
        <v>100</v>
      </c>
    </row>
    <row r="118" spans="1:6" ht="15">
      <c r="A118" s="579" t="s">
        <v>401</v>
      </c>
      <c r="B118" s="580" t="s">
        <v>402</v>
      </c>
      <c r="C118" s="589">
        <v>143509.84</v>
      </c>
      <c r="D118" s="581">
        <v>-158150.71</v>
      </c>
      <c r="E118" s="580" t="s">
        <v>1549</v>
      </c>
      <c r="F118" s="582" t="s">
        <v>100</v>
      </c>
    </row>
    <row r="119" spans="1:6" ht="15">
      <c r="A119" s="583" t="s">
        <v>403</v>
      </c>
      <c r="B119" s="584" t="s">
        <v>1569</v>
      </c>
      <c r="C119" s="590">
        <v>0</v>
      </c>
      <c r="D119" s="585">
        <v>6522.04</v>
      </c>
      <c r="E119" s="584" t="s">
        <v>1549</v>
      </c>
      <c r="F119" s="586" t="s">
        <v>100</v>
      </c>
    </row>
    <row r="120" spans="1:6" ht="15">
      <c r="A120" s="579" t="s">
        <v>405</v>
      </c>
      <c r="B120" s="580" t="s">
        <v>1570</v>
      </c>
      <c r="C120" s="589">
        <v>0</v>
      </c>
      <c r="D120" s="581">
        <v>0</v>
      </c>
      <c r="E120" s="580" t="s">
        <v>1549</v>
      </c>
      <c r="F120" s="582" t="s">
        <v>100</v>
      </c>
    </row>
    <row r="121" spans="1:6" ht="15">
      <c r="A121" s="583" t="s">
        <v>407</v>
      </c>
      <c r="B121" s="584" t="s">
        <v>220</v>
      </c>
      <c r="C121" s="590">
        <v>0</v>
      </c>
      <c r="D121" s="585">
        <v>5456.65</v>
      </c>
      <c r="E121" s="584" t="s">
        <v>1549</v>
      </c>
      <c r="F121" s="586" t="s">
        <v>100</v>
      </c>
    </row>
    <row r="122" spans="1:6" ht="15">
      <c r="A122" s="579" t="s">
        <v>1571</v>
      </c>
      <c r="B122" s="580" t="s">
        <v>388</v>
      </c>
      <c r="C122" s="589">
        <v>0</v>
      </c>
      <c r="D122" s="581">
        <v>-13474.08</v>
      </c>
      <c r="E122" s="580" t="s">
        <v>1549</v>
      </c>
      <c r="F122" s="582" t="s">
        <v>100</v>
      </c>
    </row>
    <row r="123" spans="1:6" ht="15">
      <c r="A123" s="583" t="s">
        <v>408</v>
      </c>
      <c r="B123" s="584" t="s">
        <v>409</v>
      </c>
      <c r="C123" s="590">
        <v>153563.24</v>
      </c>
      <c r="D123" s="585">
        <v>-16472.310000000001</v>
      </c>
      <c r="E123" s="584" t="s">
        <v>1550</v>
      </c>
      <c r="F123" s="586" t="s">
        <v>410</v>
      </c>
    </row>
    <row r="124" spans="1:6" ht="15">
      <c r="A124" s="579" t="s">
        <v>411</v>
      </c>
      <c r="B124" s="580" t="s">
        <v>412</v>
      </c>
      <c r="C124" s="589">
        <v>0</v>
      </c>
      <c r="D124" s="581">
        <v>0</v>
      </c>
      <c r="E124" s="580" t="s">
        <v>1548</v>
      </c>
      <c r="F124" s="582" t="s">
        <v>100</v>
      </c>
    </row>
    <row r="125" spans="1:6" ht="15">
      <c r="A125" s="583" t="s">
        <v>413</v>
      </c>
      <c r="B125" s="584" t="s">
        <v>414</v>
      </c>
      <c r="C125" s="590">
        <v>0</v>
      </c>
      <c r="D125" s="585">
        <v>0</v>
      </c>
      <c r="E125" s="584" t="s">
        <v>1549</v>
      </c>
      <c r="F125" s="586" t="s">
        <v>100</v>
      </c>
    </row>
    <row r="126" spans="1:6" ht="15">
      <c r="A126" s="579" t="s">
        <v>415</v>
      </c>
      <c r="B126" s="580" t="s">
        <v>416</v>
      </c>
      <c r="C126" s="589">
        <v>0</v>
      </c>
      <c r="D126" s="581">
        <v>0</v>
      </c>
      <c r="E126" s="580" t="s">
        <v>1550</v>
      </c>
      <c r="F126" s="582" t="s">
        <v>417</v>
      </c>
    </row>
    <row r="127" spans="1:6" ht="15">
      <c r="A127" s="583" t="s">
        <v>418</v>
      </c>
      <c r="B127" s="584" t="s">
        <v>419</v>
      </c>
      <c r="C127" s="590">
        <v>0</v>
      </c>
      <c r="D127" s="585">
        <v>0</v>
      </c>
      <c r="E127" s="584" t="s">
        <v>1548</v>
      </c>
      <c r="F127" s="586" t="s">
        <v>100</v>
      </c>
    </row>
    <row r="128" spans="1:6" ht="15">
      <c r="A128" s="579" t="s">
        <v>420</v>
      </c>
      <c r="B128" s="580" t="s">
        <v>56</v>
      </c>
      <c r="C128" s="589">
        <v>0</v>
      </c>
      <c r="D128" s="581">
        <v>25000</v>
      </c>
      <c r="E128" s="580" t="s">
        <v>1549</v>
      </c>
      <c r="F128" s="582" t="s">
        <v>100</v>
      </c>
    </row>
    <row r="129" spans="1:6" ht="15">
      <c r="A129" s="583" t="s">
        <v>421</v>
      </c>
      <c r="B129" s="584" t="s">
        <v>422</v>
      </c>
      <c r="C129" s="590">
        <v>0</v>
      </c>
      <c r="D129" s="585">
        <v>25000</v>
      </c>
      <c r="E129" s="584" t="s">
        <v>1550</v>
      </c>
      <c r="F129" s="586" t="s">
        <v>423</v>
      </c>
    </row>
    <row r="130" spans="1:6" ht="15">
      <c r="A130" s="579" t="s">
        <v>424</v>
      </c>
      <c r="B130" s="580" t="s">
        <v>425</v>
      </c>
      <c r="C130" s="589">
        <v>250535.01</v>
      </c>
      <c r="D130" s="581">
        <v>646850.34</v>
      </c>
      <c r="E130" s="580" t="s">
        <v>1550</v>
      </c>
      <c r="F130" s="582" t="s">
        <v>426</v>
      </c>
    </row>
    <row r="131" spans="1:6" ht="15">
      <c r="A131" s="583" t="s">
        <v>427</v>
      </c>
      <c r="B131" s="584" t="s">
        <v>1572</v>
      </c>
      <c r="C131" s="590">
        <v>0</v>
      </c>
      <c r="D131" s="585">
        <v>0</v>
      </c>
      <c r="E131" s="584" t="s">
        <v>1548</v>
      </c>
      <c r="F131" s="586" t="s">
        <v>100</v>
      </c>
    </row>
    <row r="132" spans="1:6" ht="15">
      <c r="A132" s="579" t="s">
        <v>430</v>
      </c>
      <c r="B132" s="580" t="s">
        <v>431</v>
      </c>
      <c r="C132" s="589">
        <v>0.5</v>
      </c>
      <c r="D132" s="581">
        <v>-105727.5</v>
      </c>
      <c r="E132" s="580" t="s">
        <v>1549</v>
      </c>
      <c r="F132" s="582" t="s">
        <v>100</v>
      </c>
    </row>
    <row r="133" spans="1:6" ht="15">
      <c r="A133" s="583" t="s">
        <v>439</v>
      </c>
      <c r="B133" s="584" t="s">
        <v>440</v>
      </c>
      <c r="C133" s="590">
        <v>0</v>
      </c>
      <c r="D133" s="585">
        <v>-63956.85</v>
      </c>
      <c r="E133" s="584" t="s">
        <v>1549</v>
      </c>
      <c r="F133" s="586" t="s">
        <v>100</v>
      </c>
    </row>
    <row r="134" spans="1:6" ht="15">
      <c r="A134" s="579" t="s">
        <v>441</v>
      </c>
      <c r="B134" s="580" t="s">
        <v>442</v>
      </c>
      <c r="C134" s="589">
        <v>0</v>
      </c>
      <c r="D134" s="581">
        <v>0</v>
      </c>
      <c r="E134" s="580" t="s">
        <v>1549</v>
      </c>
      <c r="F134" s="582" t="s">
        <v>100</v>
      </c>
    </row>
    <row r="135" spans="1:6" ht="15">
      <c r="A135" s="583" t="s">
        <v>443</v>
      </c>
      <c r="B135" s="584" t="s">
        <v>1573</v>
      </c>
      <c r="C135" s="590">
        <v>82843.75</v>
      </c>
      <c r="D135" s="585">
        <v>421109.33</v>
      </c>
      <c r="E135" s="584" t="s">
        <v>1549</v>
      </c>
      <c r="F135" s="586" t="s">
        <v>100</v>
      </c>
    </row>
    <row r="136" spans="1:6" ht="15">
      <c r="A136" s="579" t="s">
        <v>445</v>
      </c>
      <c r="B136" s="580" t="s">
        <v>1574</v>
      </c>
      <c r="C136" s="589">
        <v>0</v>
      </c>
      <c r="D136" s="581">
        <v>0</v>
      </c>
      <c r="E136" s="580" t="s">
        <v>1549</v>
      </c>
      <c r="F136" s="582" t="s">
        <v>100</v>
      </c>
    </row>
    <row r="137" spans="1:6" ht="15">
      <c r="A137" s="583" t="s">
        <v>447</v>
      </c>
      <c r="B137" s="584" t="s">
        <v>448</v>
      </c>
      <c r="C137" s="590">
        <v>133977.82999999999</v>
      </c>
      <c r="D137" s="585">
        <v>599067.15</v>
      </c>
      <c r="E137" s="584" t="s">
        <v>1549</v>
      </c>
      <c r="F137" s="586" t="s">
        <v>100</v>
      </c>
    </row>
    <row r="138" spans="1:6" ht="15">
      <c r="A138" s="579" t="s">
        <v>449</v>
      </c>
      <c r="B138" s="580" t="s">
        <v>450</v>
      </c>
      <c r="C138" s="589">
        <v>0</v>
      </c>
      <c r="D138" s="581">
        <v>0</v>
      </c>
      <c r="E138" s="580" t="s">
        <v>1549</v>
      </c>
      <c r="F138" s="582" t="s">
        <v>100</v>
      </c>
    </row>
    <row r="139" spans="1:6" ht="15">
      <c r="A139" s="583" t="s">
        <v>451</v>
      </c>
      <c r="B139" s="584" t="s">
        <v>452</v>
      </c>
      <c r="C139" s="590">
        <v>98103.74</v>
      </c>
      <c r="D139" s="585">
        <v>392300.75</v>
      </c>
      <c r="E139" s="584" t="s">
        <v>1549</v>
      </c>
      <c r="F139" s="586" t="s">
        <v>100</v>
      </c>
    </row>
    <row r="140" spans="1:6" ht="15">
      <c r="A140" s="579" t="s">
        <v>453</v>
      </c>
      <c r="B140" s="580" t="s">
        <v>454</v>
      </c>
      <c r="C140" s="589">
        <v>0</v>
      </c>
      <c r="D140" s="581">
        <v>0</v>
      </c>
      <c r="E140" s="580" t="s">
        <v>1549</v>
      </c>
      <c r="F140" s="582" t="s">
        <v>100</v>
      </c>
    </row>
    <row r="141" spans="1:6" ht="15">
      <c r="A141" s="583" t="s">
        <v>455</v>
      </c>
      <c r="B141" s="584" t="s">
        <v>456</v>
      </c>
      <c r="C141" s="590">
        <v>0</v>
      </c>
      <c r="D141" s="585">
        <v>0</v>
      </c>
      <c r="E141" s="584" t="s">
        <v>1549</v>
      </c>
      <c r="F141" s="586" t="s">
        <v>100</v>
      </c>
    </row>
    <row r="142" spans="1:6" ht="15">
      <c r="A142" s="579" t="s">
        <v>457</v>
      </c>
      <c r="B142" s="580" t="s">
        <v>1575</v>
      </c>
      <c r="C142" s="589">
        <v>15374.18</v>
      </c>
      <c r="D142" s="581">
        <v>95212.28</v>
      </c>
      <c r="E142" s="580" t="s">
        <v>1549</v>
      </c>
      <c r="F142" s="582" t="s">
        <v>100</v>
      </c>
    </row>
    <row r="143" spans="1:6" ht="15">
      <c r="A143" s="583" t="s">
        <v>459</v>
      </c>
      <c r="B143" s="584" t="s">
        <v>1576</v>
      </c>
      <c r="C143" s="590">
        <v>788.55</v>
      </c>
      <c r="D143" s="585">
        <v>24248.95</v>
      </c>
      <c r="E143" s="584" t="s">
        <v>1549</v>
      </c>
      <c r="F143" s="586" t="s">
        <v>100</v>
      </c>
    </row>
    <row r="144" spans="1:6" ht="15">
      <c r="A144" s="579" t="s">
        <v>461</v>
      </c>
      <c r="B144" s="580" t="s">
        <v>1577</v>
      </c>
      <c r="C144" s="589">
        <v>331088.55</v>
      </c>
      <c r="D144" s="581">
        <v>1362254.11</v>
      </c>
      <c r="E144" s="580" t="s">
        <v>1550</v>
      </c>
      <c r="F144" s="582" t="s">
        <v>463</v>
      </c>
    </row>
    <row r="145" spans="1:6" ht="15">
      <c r="A145" s="583" t="s">
        <v>464</v>
      </c>
      <c r="B145" s="584" t="s">
        <v>465</v>
      </c>
      <c r="C145" s="590">
        <v>0</v>
      </c>
      <c r="D145" s="585">
        <v>0</v>
      </c>
      <c r="E145" s="584" t="s">
        <v>1548</v>
      </c>
      <c r="F145" s="586" t="s">
        <v>100</v>
      </c>
    </row>
    <row r="146" spans="1:6" ht="15">
      <c r="A146" s="579" t="s">
        <v>466</v>
      </c>
      <c r="B146" s="580" t="s">
        <v>467</v>
      </c>
      <c r="C146" s="589">
        <v>0</v>
      </c>
      <c r="D146" s="581">
        <v>0</v>
      </c>
      <c r="E146" s="580" t="s">
        <v>1548</v>
      </c>
      <c r="F146" s="582" t="s">
        <v>100</v>
      </c>
    </row>
    <row r="147" spans="1:6" ht="15">
      <c r="A147" s="583" t="s">
        <v>468</v>
      </c>
      <c r="B147" s="584" t="s">
        <v>469</v>
      </c>
      <c r="C147" s="590">
        <v>0</v>
      </c>
      <c r="D147" s="585">
        <v>0</v>
      </c>
      <c r="E147" s="584" t="s">
        <v>1548</v>
      </c>
      <c r="F147" s="586" t="s">
        <v>100</v>
      </c>
    </row>
    <row r="148" spans="1:6" ht="15">
      <c r="A148" s="579" t="s">
        <v>470</v>
      </c>
      <c r="B148" s="580" t="s">
        <v>155</v>
      </c>
      <c r="C148" s="589">
        <v>0</v>
      </c>
      <c r="D148" s="581">
        <v>0</v>
      </c>
      <c r="E148" s="580" t="s">
        <v>1548</v>
      </c>
      <c r="F148" s="582" t="s">
        <v>100</v>
      </c>
    </row>
    <row r="149" spans="1:6" ht="15">
      <c r="A149" s="583" t="s">
        <v>471</v>
      </c>
      <c r="B149" s="584" t="s">
        <v>472</v>
      </c>
      <c r="C149" s="590">
        <v>-803456.25</v>
      </c>
      <c r="D149" s="585">
        <v>-5152524.05</v>
      </c>
      <c r="E149" s="584" t="s">
        <v>1549</v>
      </c>
      <c r="F149" s="586" t="s">
        <v>100</v>
      </c>
    </row>
    <row r="150" spans="1:6" ht="15">
      <c r="A150" s="579" t="s">
        <v>473</v>
      </c>
      <c r="B150" s="580" t="s">
        <v>474</v>
      </c>
      <c r="C150" s="589">
        <v>-206590</v>
      </c>
      <c r="D150" s="581">
        <v>-3140335</v>
      </c>
      <c r="E150" s="580" t="s">
        <v>1549</v>
      </c>
      <c r="F150" s="582" t="s">
        <v>100</v>
      </c>
    </row>
    <row r="151" spans="1:6" ht="15">
      <c r="A151" s="583" t="s">
        <v>478</v>
      </c>
      <c r="B151" s="584" t="s">
        <v>479</v>
      </c>
      <c r="C151" s="590">
        <v>42971.28</v>
      </c>
      <c r="D151" s="585">
        <v>407494</v>
      </c>
      <c r="E151" s="584" t="s">
        <v>1549</v>
      </c>
      <c r="F151" s="586" t="s">
        <v>100</v>
      </c>
    </row>
    <row r="152" spans="1:6" ht="15">
      <c r="A152" s="579" t="s">
        <v>480</v>
      </c>
      <c r="B152" s="580" t="s">
        <v>481</v>
      </c>
      <c r="C152" s="589">
        <v>-26583.759999999998</v>
      </c>
      <c r="D152" s="581">
        <v>-1242099.06</v>
      </c>
      <c r="E152" s="580" t="s">
        <v>1549</v>
      </c>
      <c r="F152" s="582" t="s">
        <v>100</v>
      </c>
    </row>
    <row r="153" spans="1:6" ht="15">
      <c r="A153" s="583" t="s">
        <v>482</v>
      </c>
      <c r="B153" s="584" t="s">
        <v>278</v>
      </c>
      <c r="C153" s="590">
        <v>-993658.73</v>
      </c>
      <c r="D153" s="585">
        <v>-9127464.1099999994</v>
      </c>
      <c r="E153" s="584" t="s">
        <v>1550</v>
      </c>
      <c r="F153" s="586" t="s">
        <v>483</v>
      </c>
    </row>
    <row r="154" spans="1:6" ht="15">
      <c r="A154" s="579" t="s">
        <v>484</v>
      </c>
      <c r="B154" s="580" t="s">
        <v>485</v>
      </c>
      <c r="C154" s="589">
        <v>0</v>
      </c>
      <c r="D154" s="581">
        <v>0</v>
      </c>
      <c r="E154" s="580" t="s">
        <v>1548</v>
      </c>
      <c r="F154" s="582" t="s">
        <v>100</v>
      </c>
    </row>
    <row r="155" spans="1:6" ht="15">
      <c r="A155" s="583" t="s">
        <v>486</v>
      </c>
      <c r="B155" s="584" t="s">
        <v>487</v>
      </c>
      <c r="C155" s="590">
        <v>21673.200000000001</v>
      </c>
      <c r="D155" s="585">
        <v>119831.79</v>
      </c>
      <c r="E155" s="584" t="s">
        <v>1549</v>
      </c>
      <c r="F155" s="586" t="s">
        <v>100</v>
      </c>
    </row>
    <row r="156" spans="1:6" ht="15">
      <c r="A156" s="579" t="s">
        <v>488</v>
      </c>
      <c r="B156" s="580" t="s">
        <v>489</v>
      </c>
      <c r="C156" s="589">
        <v>136484.14000000001</v>
      </c>
      <c r="D156" s="581">
        <v>398233.15</v>
      </c>
      <c r="E156" s="580" t="s">
        <v>1549</v>
      </c>
      <c r="F156" s="582" t="s">
        <v>100</v>
      </c>
    </row>
    <row r="157" spans="1:6" ht="15">
      <c r="A157" s="583" t="s">
        <v>490</v>
      </c>
      <c r="B157" s="584" t="s">
        <v>491</v>
      </c>
      <c r="C157" s="590">
        <v>38403.61</v>
      </c>
      <c r="D157" s="585">
        <v>111399.57</v>
      </c>
      <c r="E157" s="584" t="s">
        <v>1549</v>
      </c>
      <c r="F157" s="586" t="s">
        <v>100</v>
      </c>
    </row>
    <row r="158" spans="1:6" ht="15">
      <c r="A158" s="579" t="s">
        <v>492</v>
      </c>
      <c r="B158" s="580" t="s">
        <v>493</v>
      </c>
      <c r="C158" s="589">
        <v>0</v>
      </c>
      <c r="D158" s="581">
        <v>1740.31</v>
      </c>
      <c r="E158" s="580" t="s">
        <v>1549</v>
      </c>
      <c r="F158" s="582" t="s">
        <v>100</v>
      </c>
    </row>
    <row r="159" spans="1:6" ht="15">
      <c r="A159" s="583" t="s">
        <v>494</v>
      </c>
      <c r="B159" s="584" t="s">
        <v>495</v>
      </c>
      <c r="C159" s="590">
        <v>70852.56</v>
      </c>
      <c r="D159" s="585">
        <v>261152.31</v>
      </c>
      <c r="E159" s="584" t="s">
        <v>1549</v>
      </c>
      <c r="F159" s="586" t="s">
        <v>100</v>
      </c>
    </row>
    <row r="160" spans="1:6" ht="15">
      <c r="A160" s="579" t="s">
        <v>496</v>
      </c>
      <c r="B160" s="580" t="s">
        <v>497</v>
      </c>
      <c r="C160" s="589">
        <v>220743.26</v>
      </c>
      <c r="D160" s="581">
        <v>1359632.96</v>
      </c>
      <c r="E160" s="580" t="s">
        <v>1549</v>
      </c>
      <c r="F160" s="582" t="s">
        <v>100</v>
      </c>
    </row>
    <row r="161" spans="1:6" ht="15">
      <c r="A161" s="583" t="s">
        <v>1578</v>
      </c>
      <c r="B161" s="584" t="s">
        <v>1579</v>
      </c>
      <c r="C161" s="590">
        <v>17641.2</v>
      </c>
      <c r="D161" s="585">
        <v>17639.2</v>
      </c>
      <c r="E161" s="584" t="s">
        <v>1549</v>
      </c>
      <c r="F161" s="586" t="s">
        <v>100</v>
      </c>
    </row>
    <row r="162" spans="1:6" ht="15">
      <c r="A162" s="579" t="s">
        <v>498</v>
      </c>
      <c r="B162" s="580" t="s">
        <v>499</v>
      </c>
      <c r="C162" s="589">
        <v>-15796.1</v>
      </c>
      <c r="D162" s="581">
        <v>-33441.42</v>
      </c>
      <c r="E162" s="580" t="s">
        <v>1549</v>
      </c>
      <c r="F162" s="582" t="s">
        <v>100</v>
      </c>
    </row>
    <row r="163" spans="1:6" ht="15">
      <c r="A163" s="583" t="s">
        <v>500</v>
      </c>
      <c r="B163" s="584" t="s">
        <v>501</v>
      </c>
      <c r="C163" s="590">
        <v>35803</v>
      </c>
      <c r="D163" s="585">
        <v>172827.24</v>
      </c>
      <c r="E163" s="584" t="s">
        <v>1549</v>
      </c>
      <c r="F163" s="586" t="s">
        <v>100</v>
      </c>
    </row>
    <row r="164" spans="1:6" ht="15">
      <c r="A164" s="579" t="s">
        <v>502</v>
      </c>
      <c r="B164" s="580" t="s">
        <v>503</v>
      </c>
      <c r="C164" s="589">
        <v>525804.87</v>
      </c>
      <c r="D164" s="581">
        <v>2409015.11</v>
      </c>
      <c r="E164" s="580" t="s">
        <v>1550</v>
      </c>
      <c r="F164" s="582" t="s">
        <v>504</v>
      </c>
    </row>
    <row r="165" spans="1:6" ht="15">
      <c r="A165" s="583" t="s">
        <v>505</v>
      </c>
      <c r="B165" s="584" t="s">
        <v>284</v>
      </c>
      <c r="C165" s="590">
        <v>0</v>
      </c>
      <c r="D165" s="585">
        <v>0</v>
      </c>
      <c r="E165" s="584" t="s">
        <v>1548</v>
      </c>
      <c r="F165" s="586" t="s">
        <v>100</v>
      </c>
    </row>
    <row r="166" spans="1:6" ht="15">
      <c r="A166" s="579" t="s">
        <v>506</v>
      </c>
      <c r="B166" s="580" t="s">
        <v>507</v>
      </c>
      <c r="C166" s="589">
        <v>560106.06999999995</v>
      </c>
      <c r="D166" s="581">
        <v>3036935.99</v>
      </c>
      <c r="E166" s="580" t="s">
        <v>1549</v>
      </c>
      <c r="F166" s="582" t="s">
        <v>100</v>
      </c>
    </row>
    <row r="167" spans="1:6" ht="15">
      <c r="A167" s="583" t="s">
        <v>508</v>
      </c>
      <c r="B167" s="584" t="s">
        <v>300</v>
      </c>
      <c r="C167" s="590">
        <v>10420.26</v>
      </c>
      <c r="D167" s="585">
        <v>70170.59</v>
      </c>
      <c r="E167" s="584" t="s">
        <v>1549</v>
      </c>
      <c r="F167" s="586" t="s">
        <v>100</v>
      </c>
    </row>
    <row r="168" spans="1:6" ht="15">
      <c r="A168" s="579" t="s">
        <v>509</v>
      </c>
      <c r="B168" s="580" t="s">
        <v>294</v>
      </c>
      <c r="C168" s="589">
        <v>-11608.45</v>
      </c>
      <c r="D168" s="581">
        <v>-50830.68</v>
      </c>
      <c r="E168" s="580" t="s">
        <v>1549</v>
      </c>
      <c r="F168" s="582" t="s">
        <v>100</v>
      </c>
    </row>
    <row r="169" spans="1:6" ht="15">
      <c r="A169" s="583" t="s">
        <v>510</v>
      </c>
      <c r="B169" s="584" t="s">
        <v>511</v>
      </c>
      <c r="C169" s="590">
        <v>36002.21</v>
      </c>
      <c r="D169" s="585">
        <v>186089.68</v>
      </c>
      <c r="E169" s="584" t="s">
        <v>1549</v>
      </c>
      <c r="F169" s="586" t="s">
        <v>100</v>
      </c>
    </row>
    <row r="170" spans="1:6" ht="15">
      <c r="A170" s="579" t="s">
        <v>512</v>
      </c>
      <c r="B170" s="580" t="s">
        <v>513</v>
      </c>
      <c r="C170" s="589">
        <v>65880.47</v>
      </c>
      <c r="D170" s="581">
        <v>339294.78</v>
      </c>
      <c r="E170" s="580" t="s">
        <v>1549</v>
      </c>
      <c r="F170" s="582" t="s">
        <v>100</v>
      </c>
    </row>
    <row r="171" spans="1:6" ht="15">
      <c r="A171" s="583" t="s">
        <v>514</v>
      </c>
      <c r="B171" s="584" t="s">
        <v>515</v>
      </c>
      <c r="C171" s="590">
        <v>36746.730000000003</v>
      </c>
      <c r="D171" s="585">
        <v>36206.86</v>
      </c>
      <c r="E171" s="584" t="s">
        <v>1549</v>
      </c>
      <c r="F171" s="586" t="s">
        <v>100</v>
      </c>
    </row>
    <row r="172" spans="1:6" ht="15">
      <c r="A172" s="579" t="s">
        <v>516</v>
      </c>
      <c r="B172" s="580" t="s">
        <v>306</v>
      </c>
      <c r="C172" s="589">
        <v>6058.86</v>
      </c>
      <c r="D172" s="581">
        <v>32945.160000000003</v>
      </c>
      <c r="E172" s="580" t="s">
        <v>1549</v>
      </c>
      <c r="F172" s="582" t="s">
        <v>100</v>
      </c>
    </row>
    <row r="173" spans="1:6" ht="15">
      <c r="A173" s="583" t="s">
        <v>517</v>
      </c>
      <c r="B173" s="584" t="s">
        <v>317</v>
      </c>
      <c r="C173" s="590">
        <v>12271.19</v>
      </c>
      <c r="D173" s="585">
        <v>60185.57</v>
      </c>
      <c r="E173" s="584" t="s">
        <v>1549</v>
      </c>
      <c r="F173" s="586" t="s">
        <v>100</v>
      </c>
    </row>
    <row r="174" spans="1:6" ht="15">
      <c r="A174" s="579" t="s">
        <v>518</v>
      </c>
      <c r="B174" s="580" t="s">
        <v>519</v>
      </c>
      <c r="C174" s="589">
        <v>53465.9</v>
      </c>
      <c r="D174" s="581">
        <v>207208.52</v>
      </c>
      <c r="E174" s="580" t="s">
        <v>1549</v>
      </c>
      <c r="F174" s="582" t="s">
        <v>100</v>
      </c>
    </row>
    <row r="175" spans="1:6" ht="15">
      <c r="A175" s="583" t="s">
        <v>520</v>
      </c>
      <c r="B175" s="584" t="s">
        <v>1558</v>
      </c>
      <c r="C175" s="590">
        <v>0</v>
      </c>
      <c r="D175" s="585">
        <v>29088.95</v>
      </c>
      <c r="E175" s="584" t="s">
        <v>1549</v>
      </c>
      <c r="F175" s="586" t="s">
        <v>100</v>
      </c>
    </row>
    <row r="176" spans="1:6" ht="15">
      <c r="A176" s="579" t="s">
        <v>522</v>
      </c>
      <c r="B176" s="580" t="s">
        <v>216</v>
      </c>
      <c r="C176" s="589">
        <v>0</v>
      </c>
      <c r="D176" s="581">
        <v>0</v>
      </c>
      <c r="E176" s="580" t="s">
        <v>1549</v>
      </c>
      <c r="F176" s="582" t="s">
        <v>100</v>
      </c>
    </row>
    <row r="177" spans="1:6" ht="15">
      <c r="A177" s="583" t="s">
        <v>523</v>
      </c>
      <c r="B177" s="584" t="s">
        <v>524</v>
      </c>
      <c r="C177" s="590">
        <v>-2324.9699999999998</v>
      </c>
      <c r="D177" s="585">
        <v>-11574.97</v>
      </c>
      <c r="E177" s="584" t="s">
        <v>1549</v>
      </c>
      <c r="F177" s="586" t="s">
        <v>100</v>
      </c>
    </row>
    <row r="178" spans="1:6" ht="15">
      <c r="A178" s="579" t="s">
        <v>525</v>
      </c>
      <c r="B178" s="580" t="s">
        <v>526</v>
      </c>
      <c r="C178" s="589">
        <v>-15857.7</v>
      </c>
      <c r="D178" s="581">
        <v>-184427.65</v>
      </c>
      <c r="E178" s="580" t="s">
        <v>1549</v>
      </c>
      <c r="F178" s="582" t="s">
        <v>100</v>
      </c>
    </row>
    <row r="179" spans="1:6" ht="15">
      <c r="A179" s="583" t="s">
        <v>527</v>
      </c>
      <c r="B179" s="584" t="s">
        <v>341</v>
      </c>
      <c r="C179" s="590">
        <v>751160.57</v>
      </c>
      <c r="D179" s="585">
        <v>3751292.8</v>
      </c>
      <c r="E179" s="584" t="s">
        <v>1550</v>
      </c>
      <c r="F179" s="586" t="s">
        <v>528</v>
      </c>
    </row>
    <row r="180" spans="1:6" ht="15">
      <c r="A180" s="579" t="s">
        <v>529</v>
      </c>
      <c r="B180" s="580" t="s">
        <v>530</v>
      </c>
      <c r="C180" s="589">
        <v>0</v>
      </c>
      <c r="D180" s="581">
        <v>0</v>
      </c>
      <c r="E180" s="580" t="s">
        <v>1548</v>
      </c>
      <c r="F180" s="582" t="s">
        <v>100</v>
      </c>
    </row>
    <row r="181" spans="1:6" ht="15">
      <c r="A181" s="583" t="s">
        <v>531</v>
      </c>
      <c r="B181" s="584" t="s">
        <v>532</v>
      </c>
      <c r="C181" s="590">
        <v>1122</v>
      </c>
      <c r="D181" s="585">
        <v>9735.9699999999993</v>
      </c>
      <c r="E181" s="584" t="s">
        <v>1549</v>
      </c>
      <c r="F181" s="586" t="s">
        <v>100</v>
      </c>
    </row>
    <row r="182" spans="1:6" ht="15">
      <c r="A182" s="579" t="s">
        <v>533</v>
      </c>
      <c r="B182" s="580" t="s">
        <v>534</v>
      </c>
      <c r="C182" s="589">
        <v>15190.84</v>
      </c>
      <c r="D182" s="581">
        <v>33783.22</v>
      </c>
      <c r="E182" s="580" t="s">
        <v>1549</v>
      </c>
      <c r="F182" s="582" t="s">
        <v>100</v>
      </c>
    </row>
    <row r="183" spans="1:6" ht="15">
      <c r="A183" s="583" t="s">
        <v>535</v>
      </c>
      <c r="B183" s="584" t="s">
        <v>536</v>
      </c>
      <c r="C183" s="590">
        <v>0</v>
      </c>
      <c r="D183" s="585">
        <v>12340.23</v>
      </c>
      <c r="E183" s="584" t="s">
        <v>1549</v>
      </c>
      <c r="F183" s="586" t="s">
        <v>100</v>
      </c>
    </row>
    <row r="184" spans="1:6" ht="15">
      <c r="A184" s="579" t="s">
        <v>537</v>
      </c>
      <c r="B184" s="580" t="s">
        <v>538</v>
      </c>
      <c r="C184" s="589">
        <v>0</v>
      </c>
      <c r="D184" s="581">
        <v>0</v>
      </c>
      <c r="E184" s="580" t="s">
        <v>1549</v>
      </c>
      <c r="F184" s="582" t="s">
        <v>100</v>
      </c>
    </row>
    <row r="185" spans="1:6" ht="15">
      <c r="A185" s="583" t="s">
        <v>539</v>
      </c>
      <c r="B185" s="584" t="s">
        <v>540</v>
      </c>
      <c r="C185" s="590">
        <v>308921.77</v>
      </c>
      <c r="D185" s="585">
        <v>602367.93000000005</v>
      </c>
      <c r="E185" s="584" t="s">
        <v>1549</v>
      </c>
      <c r="F185" s="586" t="s">
        <v>100</v>
      </c>
    </row>
    <row r="186" spans="1:6" ht="15">
      <c r="A186" s="579" t="s">
        <v>541</v>
      </c>
      <c r="B186" s="580" t="s">
        <v>542</v>
      </c>
      <c r="C186" s="589">
        <v>0</v>
      </c>
      <c r="D186" s="581">
        <v>0</v>
      </c>
      <c r="E186" s="580" t="s">
        <v>1549</v>
      </c>
      <c r="F186" s="582" t="s">
        <v>100</v>
      </c>
    </row>
    <row r="187" spans="1:6" ht="15">
      <c r="A187" s="583" t="s">
        <v>543</v>
      </c>
      <c r="B187" s="584" t="s">
        <v>544</v>
      </c>
      <c r="C187" s="590">
        <v>0</v>
      </c>
      <c r="D187" s="585">
        <v>8179.5</v>
      </c>
      <c r="E187" s="584" t="s">
        <v>1549</v>
      </c>
      <c r="F187" s="586" t="s">
        <v>100</v>
      </c>
    </row>
    <row r="188" spans="1:6" ht="15">
      <c r="A188" s="579" t="s">
        <v>545</v>
      </c>
      <c r="B188" s="580" t="s">
        <v>546</v>
      </c>
      <c r="C188" s="589">
        <v>19537.32</v>
      </c>
      <c r="D188" s="581">
        <v>83812.31</v>
      </c>
      <c r="E188" s="580" t="s">
        <v>1549</v>
      </c>
      <c r="F188" s="582" t="s">
        <v>100</v>
      </c>
    </row>
    <row r="189" spans="1:6" ht="15">
      <c r="A189" s="583" t="s">
        <v>547</v>
      </c>
      <c r="B189" s="584" t="s">
        <v>548</v>
      </c>
      <c r="C189" s="590">
        <v>344771.93</v>
      </c>
      <c r="D189" s="585">
        <v>750219.16</v>
      </c>
      <c r="E189" s="584" t="s">
        <v>1550</v>
      </c>
      <c r="F189" s="586" t="s">
        <v>549</v>
      </c>
    </row>
    <row r="190" spans="1:6" ht="15">
      <c r="A190" s="579" t="s">
        <v>550</v>
      </c>
      <c r="B190" s="580" t="s">
        <v>551</v>
      </c>
      <c r="C190" s="589">
        <v>0</v>
      </c>
      <c r="D190" s="581">
        <v>0</v>
      </c>
      <c r="E190" s="580" t="s">
        <v>1548</v>
      </c>
      <c r="F190" s="582" t="s">
        <v>100</v>
      </c>
    </row>
    <row r="191" spans="1:6" ht="15">
      <c r="A191" s="583" t="s">
        <v>552</v>
      </c>
      <c r="B191" s="584" t="s">
        <v>553</v>
      </c>
      <c r="C191" s="590">
        <v>67043.75</v>
      </c>
      <c r="D191" s="585">
        <v>442030.02</v>
      </c>
      <c r="E191" s="584" t="s">
        <v>1549</v>
      </c>
      <c r="F191" s="586" t="s">
        <v>100</v>
      </c>
    </row>
    <row r="192" spans="1:6" ht="15">
      <c r="A192" s="579" t="s">
        <v>554</v>
      </c>
      <c r="B192" s="580" t="s">
        <v>555</v>
      </c>
      <c r="C192" s="589">
        <v>61390.48</v>
      </c>
      <c r="D192" s="581">
        <v>227119.58</v>
      </c>
      <c r="E192" s="580" t="s">
        <v>1549</v>
      </c>
      <c r="F192" s="582" t="s">
        <v>100</v>
      </c>
    </row>
    <row r="193" spans="1:6" ht="15">
      <c r="A193" s="583" t="s">
        <v>556</v>
      </c>
      <c r="B193" s="584" t="s">
        <v>1580</v>
      </c>
      <c r="C193" s="590">
        <v>464384.57</v>
      </c>
      <c r="D193" s="585">
        <v>2545842.5</v>
      </c>
      <c r="E193" s="584" t="s">
        <v>1549</v>
      </c>
      <c r="F193" s="586" t="s">
        <v>100</v>
      </c>
    </row>
    <row r="194" spans="1:6" ht="15">
      <c r="A194" s="579" t="s">
        <v>558</v>
      </c>
      <c r="B194" s="580" t="s">
        <v>559</v>
      </c>
      <c r="C194" s="589">
        <v>54868.98</v>
      </c>
      <c r="D194" s="581">
        <v>120398.47</v>
      </c>
      <c r="E194" s="580" t="s">
        <v>1549</v>
      </c>
      <c r="F194" s="582" t="s">
        <v>100</v>
      </c>
    </row>
    <row r="195" spans="1:6" ht="15">
      <c r="A195" s="583" t="s">
        <v>560</v>
      </c>
      <c r="B195" s="584" t="s">
        <v>561</v>
      </c>
      <c r="C195" s="590">
        <v>5337.5</v>
      </c>
      <c r="D195" s="585">
        <v>139676.16</v>
      </c>
      <c r="E195" s="584" t="s">
        <v>1549</v>
      </c>
      <c r="F195" s="586" t="s">
        <v>100</v>
      </c>
    </row>
    <row r="196" spans="1:6" ht="15">
      <c r="A196" s="579" t="s">
        <v>562</v>
      </c>
      <c r="B196" s="580" t="s">
        <v>563</v>
      </c>
      <c r="C196" s="589">
        <v>50572.39</v>
      </c>
      <c r="D196" s="581">
        <v>227625.57</v>
      </c>
      <c r="E196" s="580" t="s">
        <v>1549</v>
      </c>
      <c r="F196" s="582" t="s">
        <v>100</v>
      </c>
    </row>
    <row r="197" spans="1:6" ht="15">
      <c r="A197" s="583" t="s">
        <v>564</v>
      </c>
      <c r="B197" s="584" t="s">
        <v>565</v>
      </c>
      <c r="C197" s="590">
        <v>14000</v>
      </c>
      <c r="D197" s="585">
        <v>70000</v>
      </c>
      <c r="E197" s="584" t="s">
        <v>1549</v>
      </c>
      <c r="F197" s="586" t="s">
        <v>100</v>
      </c>
    </row>
    <row r="198" spans="1:6" ht="15">
      <c r="A198" s="579" t="s">
        <v>1581</v>
      </c>
      <c r="B198" s="580" t="s">
        <v>1582</v>
      </c>
      <c r="C198" s="589">
        <v>27220.52</v>
      </c>
      <c r="D198" s="581">
        <v>122684.2</v>
      </c>
      <c r="E198" s="580" t="s">
        <v>1549</v>
      </c>
      <c r="F198" s="582" t="s">
        <v>100</v>
      </c>
    </row>
    <row r="199" spans="1:6" ht="15">
      <c r="A199" s="583" t="s">
        <v>566</v>
      </c>
      <c r="B199" s="584" t="s">
        <v>567</v>
      </c>
      <c r="C199" s="590">
        <v>744818.19</v>
      </c>
      <c r="D199" s="585">
        <v>3895376.5</v>
      </c>
      <c r="E199" s="584" t="s">
        <v>1550</v>
      </c>
      <c r="F199" s="586" t="s">
        <v>568</v>
      </c>
    </row>
    <row r="200" spans="1:6" ht="15">
      <c r="A200" s="579" t="s">
        <v>569</v>
      </c>
      <c r="B200" s="580" t="s">
        <v>570</v>
      </c>
      <c r="C200" s="589">
        <v>0</v>
      </c>
      <c r="D200" s="581">
        <v>0</v>
      </c>
      <c r="E200" s="580" t="s">
        <v>1548</v>
      </c>
      <c r="F200" s="582" t="s">
        <v>100</v>
      </c>
    </row>
    <row r="201" spans="1:6" ht="15">
      <c r="A201" s="583" t="s">
        <v>571</v>
      </c>
      <c r="B201" s="584" t="s">
        <v>572</v>
      </c>
      <c r="C201" s="590">
        <v>1662</v>
      </c>
      <c r="D201" s="585">
        <v>42409.15</v>
      </c>
      <c r="E201" s="584" t="s">
        <v>1549</v>
      </c>
      <c r="F201" s="586" t="s">
        <v>100</v>
      </c>
    </row>
    <row r="202" spans="1:6" ht="15">
      <c r="A202" s="579" t="s">
        <v>573</v>
      </c>
      <c r="B202" s="580" t="s">
        <v>574</v>
      </c>
      <c r="C202" s="589">
        <v>6000</v>
      </c>
      <c r="D202" s="581">
        <v>18000</v>
      </c>
      <c r="E202" s="580" t="s">
        <v>1549</v>
      </c>
      <c r="F202" s="582" t="s">
        <v>100</v>
      </c>
    </row>
    <row r="203" spans="1:6" ht="15">
      <c r="A203" s="583" t="s">
        <v>575</v>
      </c>
      <c r="B203" s="584" t="s">
        <v>576</v>
      </c>
      <c r="C203" s="590">
        <v>7662</v>
      </c>
      <c r="D203" s="585">
        <v>60409.15</v>
      </c>
      <c r="E203" s="584" t="s">
        <v>1550</v>
      </c>
      <c r="F203" s="586" t="s">
        <v>577</v>
      </c>
    </row>
    <row r="204" spans="1:6" ht="15">
      <c r="A204" s="579" t="s">
        <v>578</v>
      </c>
      <c r="B204" s="580" t="s">
        <v>579</v>
      </c>
      <c r="C204" s="589">
        <v>0</v>
      </c>
      <c r="D204" s="581">
        <v>0</v>
      </c>
      <c r="E204" s="580" t="s">
        <v>1548</v>
      </c>
      <c r="F204" s="582" t="s">
        <v>100</v>
      </c>
    </row>
    <row r="205" spans="1:6" ht="15">
      <c r="A205" s="583" t="s">
        <v>580</v>
      </c>
      <c r="B205" s="584" t="s">
        <v>581</v>
      </c>
      <c r="C205" s="590">
        <v>1189.75</v>
      </c>
      <c r="D205" s="585">
        <v>38280.17</v>
      </c>
      <c r="E205" s="584" t="s">
        <v>1549</v>
      </c>
      <c r="F205" s="586" t="s">
        <v>100</v>
      </c>
    </row>
    <row r="206" spans="1:6" ht="15">
      <c r="A206" s="579" t="s">
        <v>582</v>
      </c>
      <c r="B206" s="580" t="s">
        <v>583</v>
      </c>
      <c r="C206" s="589">
        <v>50409.440000000002</v>
      </c>
      <c r="D206" s="581">
        <v>210851.6</v>
      </c>
      <c r="E206" s="580" t="s">
        <v>1549</v>
      </c>
      <c r="F206" s="582" t="s">
        <v>100</v>
      </c>
    </row>
    <row r="207" spans="1:6" ht="15">
      <c r="A207" s="583" t="s">
        <v>584</v>
      </c>
      <c r="B207" s="584" t="s">
        <v>585</v>
      </c>
      <c r="C207" s="590">
        <v>-12907.5</v>
      </c>
      <c r="D207" s="585">
        <v>-59035.5</v>
      </c>
      <c r="E207" s="584" t="s">
        <v>1549</v>
      </c>
      <c r="F207" s="586" t="s">
        <v>100</v>
      </c>
    </row>
    <row r="208" spans="1:6" ht="15">
      <c r="A208" s="579" t="s">
        <v>586</v>
      </c>
      <c r="B208" s="580" t="s">
        <v>587</v>
      </c>
      <c r="C208" s="589">
        <v>35082.980000000003</v>
      </c>
      <c r="D208" s="581">
        <v>216544.96</v>
      </c>
      <c r="E208" s="580" t="s">
        <v>1549</v>
      </c>
      <c r="F208" s="582" t="s">
        <v>100</v>
      </c>
    </row>
    <row r="209" spans="1:6" ht="15">
      <c r="A209" s="583" t="s">
        <v>588</v>
      </c>
      <c r="B209" s="584" t="s">
        <v>1583</v>
      </c>
      <c r="C209" s="590">
        <v>0</v>
      </c>
      <c r="D209" s="585">
        <v>0</v>
      </c>
      <c r="E209" s="584" t="s">
        <v>1549</v>
      </c>
      <c r="F209" s="586" t="s">
        <v>100</v>
      </c>
    </row>
    <row r="210" spans="1:6" ht="15">
      <c r="A210" s="579" t="s">
        <v>590</v>
      </c>
      <c r="B210" s="580" t="s">
        <v>591</v>
      </c>
      <c r="C210" s="589">
        <v>-983</v>
      </c>
      <c r="D210" s="581">
        <v>-2137.34</v>
      </c>
      <c r="E210" s="580" t="s">
        <v>1549</v>
      </c>
      <c r="F210" s="582" t="s">
        <v>100</v>
      </c>
    </row>
    <row r="211" spans="1:6" ht="15">
      <c r="A211" s="583" t="s">
        <v>592</v>
      </c>
      <c r="B211" s="584" t="s">
        <v>593</v>
      </c>
      <c r="C211" s="590">
        <v>-44645.07</v>
      </c>
      <c r="D211" s="585">
        <v>-22457.59</v>
      </c>
      <c r="E211" s="584" t="s">
        <v>1549</v>
      </c>
      <c r="F211" s="586" t="s">
        <v>100</v>
      </c>
    </row>
    <row r="212" spans="1:6" ht="15">
      <c r="A212" s="579" t="s">
        <v>594</v>
      </c>
      <c r="B212" s="580" t="s">
        <v>595</v>
      </c>
      <c r="C212" s="589">
        <v>28146.6</v>
      </c>
      <c r="D212" s="581">
        <v>382046.3</v>
      </c>
      <c r="E212" s="580" t="s">
        <v>1550</v>
      </c>
      <c r="F212" s="582" t="s">
        <v>596</v>
      </c>
    </row>
    <row r="213" spans="1:6" ht="15">
      <c r="A213" s="583" t="s">
        <v>597</v>
      </c>
      <c r="B213" s="584" t="s">
        <v>595</v>
      </c>
      <c r="C213" s="590">
        <v>0</v>
      </c>
      <c r="D213" s="585">
        <v>0</v>
      </c>
      <c r="E213" s="584" t="s">
        <v>1584</v>
      </c>
      <c r="F213" s="586" t="s">
        <v>100</v>
      </c>
    </row>
    <row r="214" spans="1:6" ht="15">
      <c r="A214" s="579" t="s">
        <v>599</v>
      </c>
      <c r="B214" s="580" t="s">
        <v>600</v>
      </c>
      <c r="C214" s="589">
        <v>0</v>
      </c>
      <c r="D214" s="581">
        <v>0</v>
      </c>
      <c r="E214" s="580" t="s">
        <v>1548</v>
      </c>
      <c r="F214" s="582" t="s">
        <v>100</v>
      </c>
    </row>
    <row r="215" spans="1:6" ht="15">
      <c r="A215" s="583" t="s">
        <v>601</v>
      </c>
      <c r="B215" s="584" t="s">
        <v>602</v>
      </c>
      <c r="C215" s="590">
        <v>0</v>
      </c>
      <c r="D215" s="585">
        <v>0</v>
      </c>
      <c r="E215" s="584" t="s">
        <v>1549</v>
      </c>
      <c r="F215" s="586" t="s">
        <v>100</v>
      </c>
    </row>
    <row r="216" spans="1:6" ht="15">
      <c r="A216" s="579" t="s">
        <v>603</v>
      </c>
      <c r="B216" s="580" t="s">
        <v>604</v>
      </c>
      <c r="C216" s="589">
        <v>4322.5</v>
      </c>
      <c r="D216" s="581">
        <v>12583.79</v>
      </c>
      <c r="E216" s="580" t="s">
        <v>1549</v>
      </c>
      <c r="F216" s="582" t="s">
        <v>100</v>
      </c>
    </row>
    <row r="217" spans="1:6" ht="15">
      <c r="A217" s="583" t="s">
        <v>605</v>
      </c>
      <c r="B217" s="584" t="s">
        <v>606</v>
      </c>
      <c r="C217" s="590">
        <v>0</v>
      </c>
      <c r="D217" s="585">
        <v>0</v>
      </c>
      <c r="E217" s="584" t="s">
        <v>1549</v>
      </c>
      <c r="F217" s="586" t="s">
        <v>100</v>
      </c>
    </row>
    <row r="218" spans="1:6" ht="15">
      <c r="A218" s="579" t="s">
        <v>607</v>
      </c>
      <c r="B218" s="580" t="s">
        <v>608</v>
      </c>
      <c r="C218" s="589">
        <v>2691.6</v>
      </c>
      <c r="D218" s="581">
        <v>25255.29</v>
      </c>
      <c r="E218" s="580" t="s">
        <v>1549</v>
      </c>
      <c r="F218" s="582" t="s">
        <v>100</v>
      </c>
    </row>
    <row r="219" spans="1:6" ht="15">
      <c r="A219" s="583" t="s">
        <v>609</v>
      </c>
      <c r="B219" s="584" t="s">
        <v>610</v>
      </c>
      <c r="C219" s="590">
        <v>0</v>
      </c>
      <c r="D219" s="585">
        <v>0</v>
      </c>
      <c r="E219" s="584" t="s">
        <v>1549</v>
      </c>
      <c r="F219" s="586" t="s">
        <v>100</v>
      </c>
    </row>
    <row r="220" spans="1:6" ht="15">
      <c r="A220" s="579" t="s">
        <v>611</v>
      </c>
      <c r="B220" s="580" t="s">
        <v>612</v>
      </c>
      <c r="C220" s="589">
        <v>869.02</v>
      </c>
      <c r="D220" s="581">
        <v>1576.28</v>
      </c>
      <c r="E220" s="580" t="s">
        <v>1549</v>
      </c>
      <c r="F220" s="582" t="s">
        <v>100</v>
      </c>
    </row>
    <row r="221" spans="1:6" ht="15">
      <c r="A221" s="583" t="s">
        <v>613</v>
      </c>
      <c r="B221" s="584" t="s">
        <v>614</v>
      </c>
      <c r="C221" s="590">
        <v>0</v>
      </c>
      <c r="D221" s="585">
        <v>0</v>
      </c>
      <c r="E221" s="584" t="s">
        <v>1549</v>
      </c>
      <c r="F221" s="586" t="s">
        <v>100</v>
      </c>
    </row>
    <row r="222" spans="1:6" ht="15">
      <c r="A222" s="579" t="s">
        <v>615</v>
      </c>
      <c r="B222" s="580" t="s">
        <v>616</v>
      </c>
      <c r="C222" s="589">
        <v>-10234.469999999999</v>
      </c>
      <c r="D222" s="581">
        <v>-35177.839999999997</v>
      </c>
      <c r="E222" s="580" t="s">
        <v>1549</v>
      </c>
      <c r="F222" s="582" t="s">
        <v>100</v>
      </c>
    </row>
    <row r="223" spans="1:6" ht="15">
      <c r="A223" s="583" t="s">
        <v>617</v>
      </c>
      <c r="B223" s="584" t="s">
        <v>618</v>
      </c>
      <c r="C223" s="590">
        <v>-2351.35</v>
      </c>
      <c r="D223" s="585">
        <v>4237.5200000000004</v>
      </c>
      <c r="E223" s="584" t="s">
        <v>1550</v>
      </c>
      <c r="F223" s="586" t="s">
        <v>619</v>
      </c>
    </row>
    <row r="224" spans="1:6" ht="15">
      <c r="A224" s="579" t="s">
        <v>620</v>
      </c>
      <c r="B224" s="580" t="s">
        <v>621</v>
      </c>
      <c r="C224" s="589">
        <v>1406354.08</v>
      </c>
      <c r="D224" s="581">
        <v>2125132.4300000002</v>
      </c>
      <c r="E224" s="580" t="s">
        <v>1550</v>
      </c>
      <c r="F224" s="582" t="s">
        <v>622</v>
      </c>
    </row>
    <row r="225" spans="1:6" ht="15">
      <c r="A225" s="583" t="s">
        <v>623</v>
      </c>
      <c r="B225" s="584" t="s">
        <v>624</v>
      </c>
      <c r="C225" s="590">
        <v>1406354.08</v>
      </c>
      <c r="D225" s="585">
        <v>2125132.4300000002</v>
      </c>
      <c r="E225" s="584" t="s">
        <v>1550</v>
      </c>
      <c r="F225" s="586" t="s">
        <v>625</v>
      </c>
    </row>
    <row r="226" spans="1:6" ht="15">
      <c r="A226" s="579" t="s">
        <v>626</v>
      </c>
      <c r="B226" s="580" t="s">
        <v>627</v>
      </c>
      <c r="C226" s="589">
        <v>0</v>
      </c>
      <c r="D226" s="581">
        <v>0</v>
      </c>
      <c r="E226" s="580" t="s">
        <v>1548</v>
      </c>
      <c r="F226" s="582" t="s">
        <v>100</v>
      </c>
    </row>
    <row r="227" spans="1:6" ht="15">
      <c r="A227" s="583" t="s">
        <v>628</v>
      </c>
      <c r="B227" s="584" t="s">
        <v>629</v>
      </c>
      <c r="C227" s="590">
        <v>3469.11</v>
      </c>
      <c r="D227" s="585">
        <v>11714.37</v>
      </c>
      <c r="E227" s="584" t="s">
        <v>1549</v>
      </c>
      <c r="F227" s="586" t="s">
        <v>100</v>
      </c>
    </row>
    <row r="228" spans="1:6" ht="15">
      <c r="A228" s="579" t="s">
        <v>630</v>
      </c>
      <c r="B228" s="580" t="s">
        <v>631</v>
      </c>
      <c r="C228" s="589">
        <v>3469.11</v>
      </c>
      <c r="D228" s="581">
        <v>11714.37</v>
      </c>
      <c r="E228" s="580" t="s">
        <v>1550</v>
      </c>
      <c r="F228" s="582" t="s">
        <v>632</v>
      </c>
    </row>
    <row r="229" spans="1:6" ht="15">
      <c r="A229" s="583" t="s">
        <v>633</v>
      </c>
      <c r="B229" s="584" t="s">
        <v>634</v>
      </c>
      <c r="C229" s="590">
        <v>1409823.19</v>
      </c>
      <c r="D229" s="585">
        <v>2136846.7999999998</v>
      </c>
      <c r="E229" s="584" t="s">
        <v>1550</v>
      </c>
      <c r="F229" s="586" t="s">
        <v>635</v>
      </c>
    </row>
    <row r="230" spans="1:6" ht="15">
      <c r="A230" s="579" t="s">
        <v>636</v>
      </c>
      <c r="B230" s="580" t="s">
        <v>637</v>
      </c>
      <c r="C230" s="589">
        <v>0</v>
      </c>
      <c r="D230" s="581">
        <v>0</v>
      </c>
      <c r="E230" s="580" t="s">
        <v>1548</v>
      </c>
      <c r="F230" s="582" t="s">
        <v>100</v>
      </c>
    </row>
    <row r="231" spans="1:6" ht="15">
      <c r="A231" s="583" t="s">
        <v>638</v>
      </c>
      <c r="B231" s="584" t="s">
        <v>639</v>
      </c>
      <c r="C231" s="590">
        <v>0</v>
      </c>
      <c r="D231" s="585">
        <v>0</v>
      </c>
      <c r="E231" s="584" t="s">
        <v>1548</v>
      </c>
      <c r="F231" s="586" t="s">
        <v>100</v>
      </c>
    </row>
    <row r="232" spans="1:6" ht="15">
      <c r="A232" s="579" t="s">
        <v>640</v>
      </c>
      <c r="B232" s="580" t="s">
        <v>641</v>
      </c>
      <c r="C232" s="589">
        <v>-156608</v>
      </c>
      <c r="D232" s="581">
        <v>-2423011.9900000002</v>
      </c>
      <c r="E232" s="580" t="s">
        <v>1549</v>
      </c>
      <c r="F232" s="582" t="s">
        <v>100</v>
      </c>
    </row>
    <row r="233" spans="1:6" ht="15">
      <c r="A233" s="583" t="s">
        <v>642</v>
      </c>
      <c r="B233" s="584" t="s">
        <v>643</v>
      </c>
      <c r="C233" s="590">
        <v>-1515.8</v>
      </c>
      <c r="D233" s="585">
        <v>-186289.66</v>
      </c>
      <c r="E233" s="584" t="s">
        <v>1549</v>
      </c>
      <c r="F233" s="586" t="s">
        <v>100</v>
      </c>
    </row>
    <row r="234" spans="1:6" ht="15">
      <c r="A234" s="579" t="s">
        <v>644</v>
      </c>
      <c r="B234" s="580" t="s">
        <v>645</v>
      </c>
      <c r="C234" s="589">
        <v>0</v>
      </c>
      <c r="D234" s="581">
        <v>0</v>
      </c>
      <c r="E234" s="580" t="s">
        <v>1549</v>
      </c>
      <c r="F234" s="582" t="s">
        <v>100</v>
      </c>
    </row>
    <row r="235" spans="1:6" ht="15">
      <c r="A235" s="583" t="s">
        <v>646</v>
      </c>
      <c r="B235" s="584" t="s">
        <v>202</v>
      </c>
      <c r="C235" s="590">
        <v>0</v>
      </c>
      <c r="D235" s="585">
        <v>-18805.16</v>
      </c>
      <c r="E235" s="584" t="s">
        <v>1549</v>
      </c>
      <c r="F235" s="586" t="s">
        <v>100</v>
      </c>
    </row>
    <row r="236" spans="1:6" ht="15">
      <c r="A236" s="579" t="s">
        <v>647</v>
      </c>
      <c r="B236" s="580" t="s">
        <v>648</v>
      </c>
      <c r="C236" s="589">
        <v>0</v>
      </c>
      <c r="D236" s="581">
        <v>110192.76</v>
      </c>
      <c r="E236" s="580" t="s">
        <v>1549</v>
      </c>
      <c r="F236" s="582" t="s">
        <v>100</v>
      </c>
    </row>
    <row r="237" spans="1:6" ht="15">
      <c r="A237" s="583" t="s">
        <v>649</v>
      </c>
      <c r="B237" s="584" t="s">
        <v>1585</v>
      </c>
      <c r="C237" s="590">
        <v>6661.8</v>
      </c>
      <c r="D237" s="585">
        <v>218855.39</v>
      </c>
      <c r="E237" s="584" t="s">
        <v>1549</v>
      </c>
      <c r="F237" s="586" t="s">
        <v>100</v>
      </c>
    </row>
    <row r="238" spans="1:6" ht="15">
      <c r="A238" s="579" t="s">
        <v>651</v>
      </c>
      <c r="B238" s="580" t="s">
        <v>652</v>
      </c>
      <c r="C238" s="589">
        <v>33824.79</v>
      </c>
      <c r="D238" s="581">
        <v>380885.79</v>
      </c>
      <c r="E238" s="580" t="s">
        <v>1549</v>
      </c>
      <c r="F238" s="582" t="s">
        <v>100</v>
      </c>
    </row>
    <row r="239" spans="1:6" ht="15">
      <c r="A239" s="583" t="s">
        <v>653</v>
      </c>
      <c r="B239" s="584" t="s">
        <v>654</v>
      </c>
      <c r="C239" s="590">
        <v>0</v>
      </c>
      <c r="D239" s="585">
        <v>14778.41</v>
      </c>
      <c r="E239" s="584" t="s">
        <v>1549</v>
      </c>
      <c r="F239" s="586" t="s">
        <v>100</v>
      </c>
    </row>
    <row r="240" spans="1:6" ht="15">
      <c r="A240" s="579" t="s">
        <v>655</v>
      </c>
      <c r="B240" s="580" t="s">
        <v>656</v>
      </c>
      <c r="C240" s="589">
        <v>0</v>
      </c>
      <c r="D240" s="581">
        <v>6024.89</v>
      </c>
      <c r="E240" s="580" t="s">
        <v>1549</v>
      </c>
      <c r="F240" s="582" t="s">
        <v>100</v>
      </c>
    </row>
    <row r="241" spans="1:6" ht="15">
      <c r="A241" s="583" t="s">
        <v>657</v>
      </c>
      <c r="B241" s="584" t="s">
        <v>658</v>
      </c>
      <c r="C241" s="590">
        <v>0</v>
      </c>
      <c r="D241" s="585">
        <v>162.54</v>
      </c>
      <c r="E241" s="584" t="s">
        <v>1549</v>
      </c>
      <c r="F241" s="586" t="s">
        <v>100</v>
      </c>
    </row>
    <row r="242" spans="1:6" ht="15">
      <c r="A242" s="579" t="s">
        <v>659</v>
      </c>
      <c r="B242" s="580" t="s">
        <v>660</v>
      </c>
      <c r="C242" s="589">
        <v>5000</v>
      </c>
      <c r="D242" s="581">
        <v>1028468.43</v>
      </c>
      <c r="E242" s="580" t="s">
        <v>1549</v>
      </c>
      <c r="F242" s="582" t="s">
        <v>100</v>
      </c>
    </row>
    <row r="243" spans="1:6" ht="15">
      <c r="A243" s="583" t="s">
        <v>661</v>
      </c>
      <c r="B243" s="584" t="s">
        <v>662</v>
      </c>
      <c r="C243" s="590">
        <v>0</v>
      </c>
      <c r="D243" s="585">
        <v>40</v>
      </c>
      <c r="E243" s="584" t="s">
        <v>1549</v>
      </c>
      <c r="F243" s="586" t="s">
        <v>100</v>
      </c>
    </row>
    <row r="244" spans="1:6" ht="15">
      <c r="A244" s="579" t="s">
        <v>663</v>
      </c>
      <c r="B244" s="580" t="s">
        <v>664</v>
      </c>
      <c r="C244" s="589">
        <v>21198.400000000001</v>
      </c>
      <c r="D244" s="581">
        <v>845509.05</v>
      </c>
      <c r="E244" s="580" t="s">
        <v>1549</v>
      </c>
      <c r="F244" s="582" t="s">
        <v>100</v>
      </c>
    </row>
    <row r="245" spans="1:6" ht="15">
      <c r="A245" s="583" t="s">
        <v>665</v>
      </c>
      <c r="B245" s="584" t="s">
        <v>666</v>
      </c>
      <c r="C245" s="590">
        <v>90879.44</v>
      </c>
      <c r="D245" s="585">
        <v>42926.11</v>
      </c>
      <c r="E245" s="584" t="s">
        <v>1549</v>
      </c>
      <c r="F245" s="586" t="s">
        <v>100</v>
      </c>
    </row>
    <row r="246" spans="1:6" ht="15">
      <c r="A246" s="579" t="s">
        <v>667</v>
      </c>
      <c r="B246" s="580" t="s">
        <v>220</v>
      </c>
      <c r="C246" s="589">
        <v>969.63</v>
      </c>
      <c r="D246" s="581">
        <v>28813.14</v>
      </c>
      <c r="E246" s="580" t="s">
        <v>1549</v>
      </c>
      <c r="F246" s="582" t="s">
        <v>100</v>
      </c>
    </row>
    <row r="247" spans="1:6" ht="15">
      <c r="A247" s="583" t="s">
        <v>668</v>
      </c>
      <c r="B247" s="584" t="s">
        <v>669</v>
      </c>
      <c r="C247" s="590">
        <v>3625</v>
      </c>
      <c r="D247" s="585">
        <v>162831.98000000001</v>
      </c>
      <c r="E247" s="584" t="s">
        <v>1549</v>
      </c>
      <c r="F247" s="586" t="s">
        <v>100</v>
      </c>
    </row>
    <row r="248" spans="1:6" ht="15">
      <c r="A248" s="579" t="s">
        <v>670</v>
      </c>
      <c r="B248" s="580" t="s">
        <v>671</v>
      </c>
      <c r="C248" s="589">
        <v>0</v>
      </c>
      <c r="D248" s="581">
        <v>0</v>
      </c>
      <c r="E248" s="580" t="s">
        <v>1549</v>
      </c>
      <c r="F248" s="582" t="s">
        <v>100</v>
      </c>
    </row>
    <row r="249" spans="1:6" ht="15">
      <c r="A249" s="583" t="s">
        <v>672</v>
      </c>
      <c r="B249" s="584" t="s">
        <v>1586</v>
      </c>
      <c r="C249" s="590">
        <v>4035.26</v>
      </c>
      <c r="D249" s="585">
        <v>211381.68</v>
      </c>
      <c r="E249" s="584" t="s">
        <v>1550</v>
      </c>
      <c r="F249" s="586" t="s">
        <v>674</v>
      </c>
    </row>
    <row r="250" spans="1:6" ht="15">
      <c r="A250" s="579" t="s">
        <v>675</v>
      </c>
      <c r="B250" s="580" t="s">
        <v>676</v>
      </c>
      <c r="C250" s="589">
        <v>0</v>
      </c>
      <c r="D250" s="581">
        <v>0</v>
      </c>
      <c r="E250" s="580" t="s">
        <v>1548</v>
      </c>
      <c r="F250" s="582" t="s">
        <v>100</v>
      </c>
    </row>
    <row r="251" spans="1:6" ht="15">
      <c r="A251" s="583" t="s">
        <v>677</v>
      </c>
      <c r="B251" s="584" t="s">
        <v>678</v>
      </c>
      <c r="C251" s="590">
        <v>0</v>
      </c>
      <c r="D251" s="585">
        <v>0</v>
      </c>
      <c r="E251" s="584" t="s">
        <v>1549</v>
      </c>
      <c r="F251" s="586" t="s">
        <v>100</v>
      </c>
    </row>
    <row r="252" spans="1:6" ht="15">
      <c r="A252" s="579" t="s">
        <v>679</v>
      </c>
      <c r="B252" s="580" t="s">
        <v>680</v>
      </c>
      <c r="C252" s="589">
        <v>0</v>
      </c>
      <c r="D252" s="581">
        <v>0</v>
      </c>
      <c r="E252" s="580" t="s">
        <v>1549</v>
      </c>
      <c r="F252" s="582" t="s">
        <v>100</v>
      </c>
    </row>
    <row r="253" spans="1:6" ht="15">
      <c r="A253" s="583" t="s">
        <v>681</v>
      </c>
      <c r="B253" s="584" t="s">
        <v>682</v>
      </c>
      <c r="C253" s="590">
        <v>0</v>
      </c>
      <c r="D253" s="585">
        <v>0</v>
      </c>
      <c r="E253" s="584" t="s">
        <v>1550</v>
      </c>
      <c r="F253" s="586" t="s">
        <v>683</v>
      </c>
    </row>
    <row r="254" spans="1:6" ht="15">
      <c r="A254" s="579" t="s">
        <v>684</v>
      </c>
      <c r="B254" s="580" t="s">
        <v>685</v>
      </c>
      <c r="C254" s="589">
        <v>0</v>
      </c>
      <c r="D254" s="581">
        <v>0</v>
      </c>
      <c r="E254" s="580" t="s">
        <v>1548</v>
      </c>
      <c r="F254" s="582" t="s">
        <v>100</v>
      </c>
    </row>
    <row r="255" spans="1:6" ht="15">
      <c r="A255" s="583" t="s">
        <v>686</v>
      </c>
      <c r="B255" s="584" t="s">
        <v>687</v>
      </c>
      <c r="C255" s="590">
        <v>56781.71</v>
      </c>
      <c r="D255" s="585">
        <v>296861.19</v>
      </c>
      <c r="E255" s="584" t="s">
        <v>1549</v>
      </c>
      <c r="F255" s="586" t="s">
        <v>100</v>
      </c>
    </row>
    <row r="256" spans="1:6" ht="15">
      <c r="A256" s="579" t="s">
        <v>688</v>
      </c>
      <c r="B256" s="580" t="s">
        <v>689</v>
      </c>
      <c r="C256" s="589">
        <v>0</v>
      </c>
      <c r="D256" s="581">
        <v>5768</v>
      </c>
      <c r="E256" s="580" t="s">
        <v>1549</v>
      </c>
      <c r="F256" s="582" t="s">
        <v>100</v>
      </c>
    </row>
    <row r="257" spans="1:6" ht="15">
      <c r="A257" s="583" t="s">
        <v>690</v>
      </c>
      <c r="B257" s="584" t="s">
        <v>691</v>
      </c>
      <c r="C257" s="590">
        <v>49605.97</v>
      </c>
      <c r="D257" s="585">
        <v>155072.16</v>
      </c>
      <c r="E257" s="584" t="s">
        <v>1549</v>
      </c>
      <c r="F257" s="586" t="s">
        <v>100</v>
      </c>
    </row>
    <row r="258" spans="1:6" ht="15">
      <c r="A258" s="579" t="s">
        <v>692</v>
      </c>
      <c r="B258" s="580" t="s">
        <v>693</v>
      </c>
      <c r="C258" s="589">
        <v>679.95</v>
      </c>
      <c r="D258" s="581">
        <v>29856.73</v>
      </c>
      <c r="E258" s="580" t="s">
        <v>1549</v>
      </c>
      <c r="F258" s="582" t="s">
        <v>100</v>
      </c>
    </row>
    <row r="259" spans="1:6" ht="15">
      <c r="A259" s="583" t="s">
        <v>694</v>
      </c>
      <c r="B259" s="584" t="s">
        <v>695</v>
      </c>
      <c r="C259" s="590">
        <v>0</v>
      </c>
      <c r="D259" s="585">
        <v>0</v>
      </c>
      <c r="E259" s="584" t="s">
        <v>1549</v>
      </c>
      <c r="F259" s="586" t="s">
        <v>100</v>
      </c>
    </row>
    <row r="260" spans="1:6" ht="15">
      <c r="A260" s="579" t="s">
        <v>696</v>
      </c>
      <c r="B260" s="580" t="s">
        <v>697</v>
      </c>
      <c r="C260" s="589">
        <v>107067.63</v>
      </c>
      <c r="D260" s="581">
        <v>487558.08</v>
      </c>
      <c r="E260" s="580" t="s">
        <v>1550</v>
      </c>
      <c r="F260" s="582" t="s">
        <v>698</v>
      </c>
    </row>
    <row r="261" spans="1:6" ht="15">
      <c r="A261" s="583" t="s">
        <v>699</v>
      </c>
      <c r="B261" s="584" t="s">
        <v>700</v>
      </c>
      <c r="C261" s="590">
        <v>0</v>
      </c>
      <c r="D261" s="585">
        <v>0</v>
      </c>
      <c r="E261" s="584" t="s">
        <v>1548</v>
      </c>
      <c r="F261" s="586" t="s">
        <v>100</v>
      </c>
    </row>
    <row r="262" spans="1:6" ht="15">
      <c r="A262" s="579" t="s">
        <v>701</v>
      </c>
      <c r="B262" s="580" t="s">
        <v>702</v>
      </c>
      <c r="C262" s="589">
        <v>0</v>
      </c>
      <c r="D262" s="581">
        <v>-676844.25</v>
      </c>
      <c r="E262" s="580" t="s">
        <v>1549</v>
      </c>
      <c r="F262" s="582" t="s">
        <v>100</v>
      </c>
    </row>
    <row r="263" spans="1:6" ht="15">
      <c r="A263" s="583" t="s">
        <v>703</v>
      </c>
      <c r="B263" s="584" t="s">
        <v>704</v>
      </c>
      <c r="C263" s="590">
        <v>0</v>
      </c>
      <c r="D263" s="585">
        <v>0</v>
      </c>
      <c r="E263" s="584" t="s">
        <v>1549</v>
      </c>
      <c r="F263" s="586" t="s">
        <v>100</v>
      </c>
    </row>
    <row r="264" spans="1:6" ht="15">
      <c r="A264" s="579" t="s">
        <v>705</v>
      </c>
      <c r="B264" s="580" t="s">
        <v>664</v>
      </c>
      <c r="C264" s="589">
        <v>0</v>
      </c>
      <c r="D264" s="581">
        <v>514897.09</v>
      </c>
      <c r="E264" s="580" t="s">
        <v>1549</v>
      </c>
      <c r="F264" s="582" t="s">
        <v>100</v>
      </c>
    </row>
    <row r="265" spans="1:6" ht="15">
      <c r="A265" s="583" t="s">
        <v>706</v>
      </c>
      <c r="B265" s="584" t="s">
        <v>707</v>
      </c>
      <c r="C265" s="590">
        <v>0</v>
      </c>
      <c r="D265" s="585">
        <v>154481</v>
      </c>
      <c r="E265" s="584" t="s">
        <v>1549</v>
      </c>
      <c r="F265" s="586" t="s">
        <v>100</v>
      </c>
    </row>
    <row r="266" spans="1:6" ht="15">
      <c r="A266" s="579" t="s">
        <v>708</v>
      </c>
      <c r="B266" s="580" t="s">
        <v>709</v>
      </c>
      <c r="C266" s="589">
        <v>0</v>
      </c>
      <c r="D266" s="581">
        <v>5934.91</v>
      </c>
      <c r="E266" s="580" t="s">
        <v>1549</v>
      </c>
      <c r="F266" s="582" t="s">
        <v>100</v>
      </c>
    </row>
    <row r="267" spans="1:6" ht="15">
      <c r="A267" s="583" t="s">
        <v>710</v>
      </c>
      <c r="B267" s="584" t="s">
        <v>711</v>
      </c>
      <c r="C267" s="590">
        <v>0</v>
      </c>
      <c r="D267" s="585">
        <v>86515.7</v>
      </c>
      <c r="E267" s="584" t="s">
        <v>1549</v>
      </c>
      <c r="F267" s="586" t="s">
        <v>100</v>
      </c>
    </row>
    <row r="268" spans="1:6" ht="15">
      <c r="A268" s="579" t="s">
        <v>712</v>
      </c>
      <c r="B268" s="580" t="s">
        <v>713</v>
      </c>
      <c r="C268" s="589">
        <v>0</v>
      </c>
      <c r="D268" s="581">
        <v>84984.45</v>
      </c>
      <c r="E268" s="580" t="s">
        <v>1550</v>
      </c>
      <c r="F268" s="582" t="s">
        <v>714</v>
      </c>
    </row>
    <row r="269" spans="1:6" ht="15">
      <c r="A269" s="583" t="s">
        <v>715</v>
      </c>
      <c r="B269" s="584" t="s">
        <v>716</v>
      </c>
      <c r="C269" s="590">
        <v>111102.89</v>
      </c>
      <c r="D269" s="585">
        <v>783924.21</v>
      </c>
      <c r="E269" s="584" t="s">
        <v>1550</v>
      </c>
      <c r="F269" s="586" t="s">
        <v>717</v>
      </c>
    </row>
    <row r="270" spans="1:6" ht="15">
      <c r="A270" s="579" t="s">
        <v>718</v>
      </c>
      <c r="B270" s="580" t="s">
        <v>719</v>
      </c>
      <c r="C270" s="589">
        <v>0</v>
      </c>
      <c r="D270" s="581">
        <v>0</v>
      </c>
      <c r="E270" s="580" t="s">
        <v>1548</v>
      </c>
      <c r="F270" s="582" t="s">
        <v>100</v>
      </c>
    </row>
    <row r="271" spans="1:6" ht="15">
      <c r="A271" s="583" t="s">
        <v>720</v>
      </c>
      <c r="B271" s="584" t="s">
        <v>721</v>
      </c>
      <c r="C271" s="590">
        <v>0</v>
      </c>
      <c r="D271" s="585">
        <v>0</v>
      </c>
      <c r="E271" s="584" t="s">
        <v>1548</v>
      </c>
      <c r="F271" s="586" t="s">
        <v>100</v>
      </c>
    </row>
    <row r="272" spans="1:6" ht="15">
      <c r="A272" s="579" t="s">
        <v>722</v>
      </c>
      <c r="B272" s="580" t="s">
        <v>723</v>
      </c>
      <c r="C272" s="589">
        <v>-29807.58</v>
      </c>
      <c r="D272" s="581">
        <v>-86145.74</v>
      </c>
      <c r="E272" s="580" t="s">
        <v>1549</v>
      </c>
      <c r="F272" s="582" t="s">
        <v>100</v>
      </c>
    </row>
    <row r="273" spans="1:6" ht="15">
      <c r="A273" s="583" t="s">
        <v>724</v>
      </c>
      <c r="B273" s="584" t="s">
        <v>725</v>
      </c>
      <c r="C273" s="590">
        <v>0</v>
      </c>
      <c r="D273" s="585">
        <v>-0.6</v>
      </c>
      <c r="E273" s="584" t="s">
        <v>1549</v>
      </c>
      <c r="F273" s="586" t="s">
        <v>100</v>
      </c>
    </row>
    <row r="274" spans="1:6" ht="15">
      <c r="A274" s="579" t="s">
        <v>726</v>
      </c>
      <c r="B274" s="580" t="s">
        <v>727</v>
      </c>
      <c r="C274" s="589">
        <v>-52580</v>
      </c>
      <c r="D274" s="581">
        <v>-225264.66</v>
      </c>
      <c r="E274" s="580" t="s">
        <v>1549</v>
      </c>
      <c r="F274" s="582" t="s">
        <v>100</v>
      </c>
    </row>
    <row r="275" spans="1:6" ht="15">
      <c r="A275" s="583" t="s">
        <v>728</v>
      </c>
      <c r="B275" s="584" t="s">
        <v>729</v>
      </c>
      <c r="C275" s="590">
        <v>118296.05</v>
      </c>
      <c r="D275" s="585">
        <v>356201.2</v>
      </c>
      <c r="E275" s="584" t="s">
        <v>1549</v>
      </c>
      <c r="F275" s="586" t="s">
        <v>100</v>
      </c>
    </row>
    <row r="276" spans="1:6" ht="15">
      <c r="A276" s="579" t="s">
        <v>730</v>
      </c>
      <c r="B276" s="580" t="s">
        <v>731</v>
      </c>
      <c r="C276" s="589">
        <v>0</v>
      </c>
      <c r="D276" s="581">
        <v>0</v>
      </c>
      <c r="E276" s="580" t="s">
        <v>1549</v>
      </c>
      <c r="F276" s="582" t="s">
        <v>100</v>
      </c>
    </row>
    <row r="277" spans="1:6" ht="15">
      <c r="A277" s="583" t="s">
        <v>732</v>
      </c>
      <c r="B277" s="584" t="s">
        <v>733</v>
      </c>
      <c r="C277" s="590">
        <v>0</v>
      </c>
      <c r="D277" s="585">
        <v>0</v>
      </c>
      <c r="E277" s="584" t="s">
        <v>1549</v>
      </c>
      <c r="F277" s="586" t="s">
        <v>100</v>
      </c>
    </row>
    <row r="278" spans="1:6" ht="15">
      <c r="A278" s="579" t="s">
        <v>734</v>
      </c>
      <c r="B278" s="580" t="s">
        <v>735</v>
      </c>
      <c r="C278" s="589">
        <v>0</v>
      </c>
      <c r="D278" s="581">
        <v>0</v>
      </c>
      <c r="E278" s="580" t="s">
        <v>1549</v>
      </c>
      <c r="F278" s="582" t="s">
        <v>100</v>
      </c>
    </row>
    <row r="279" spans="1:6" ht="15">
      <c r="A279" s="583" t="s">
        <v>736</v>
      </c>
      <c r="B279" s="584" t="s">
        <v>737</v>
      </c>
      <c r="C279" s="590">
        <v>2415</v>
      </c>
      <c r="D279" s="585">
        <v>6616.75</v>
      </c>
      <c r="E279" s="584" t="s">
        <v>1549</v>
      </c>
      <c r="F279" s="586" t="s">
        <v>100</v>
      </c>
    </row>
    <row r="280" spans="1:6" ht="15">
      <c r="A280" s="579" t="s">
        <v>738</v>
      </c>
      <c r="B280" s="580" t="s">
        <v>739</v>
      </c>
      <c r="C280" s="589">
        <v>0</v>
      </c>
      <c r="D280" s="581">
        <v>3429.01</v>
      </c>
      <c r="E280" s="580" t="s">
        <v>1549</v>
      </c>
      <c r="F280" s="582" t="s">
        <v>100</v>
      </c>
    </row>
    <row r="281" spans="1:6" ht="15">
      <c r="A281" s="583" t="s">
        <v>740</v>
      </c>
      <c r="B281" s="584" t="s">
        <v>741</v>
      </c>
      <c r="C281" s="590">
        <v>2249.6</v>
      </c>
      <c r="D281" s="585">
        <v>19760.72</v>
      </c>
      <c r="E281" s="584" t="s">
        <v>1549</v>
      </c>
      <c r="F281" s="586" t="s">
        <v>100</v>
      </c>
    </row>
    <row r="282" spans="1:6" ht="15">
      <c r="A282" s="579" t="s">
        <v>742</v>
      </c>
      <c r="B282" s="580" t="s">
        <v>743</v>
      </c>
      <c r="C282" s="589">
        <v>0</v>
      </c>
      <c r="D282" s="581">
        <v>4793.25</v>
      </c>
      <c r="E282" s="580" t="s">
        <v>1549</v>
      </c>
      <c r="F282" s="582" t="s">
        <v>100</v>
      </c>
    </row>
    <row r="283" spans="1:6" ht="15">
      <c r="A283" s="583" t="s">
        <v>744</v>
      </c>
      <c r="B283" s="584" t="s">
        <v>536</v>
      </c>
      <c r="C283" s="590">
        <v>4308.4399999999996</v>
      </c>
      <c r="D283" s="585">
        <v>37208.07</v>
      </c>
      <c r="E283" s="584" t="s">
        <v>1549</v>
      </c>
      <c r="F283" s="586" t="s">
        <v>100</v>
      </c>
    </row>
    <row r="284" spans="1:6" ht="15">
      <c r="A284" s="579" t="s">
        <v>745</v>
      </c>
      <c r="B284" s="580" t="s">
        <v>746</v>
      </c>
      <c r="C284" s="589">
        <v>0</v>
      </c>
      <c r="D284" s="581">
        <v>46109.41</v>
      </c>
      <c r="E284" s="580" t="s">
        <v>1549</v>
      </c>
      <c r="F284" s="582" t="s">
        <v>100</v>
      </c>
    </row>
    <row r="285" spans="1:6" ht="15">
      <c r="A285" s="583" t="s">
        <v>747</v>
      </c>
      <c r="B285" s="584" t="s">
        <v>748</v>
      </c>
      <c r="C285" s="590">
        <v>56250</v>
      </c>
      <c r="D285" s="585">
        <v>207375</v>
      </c>
      <c r="E285" s="584" t="s">
        <v>1549</v>
      </c>
      <c r="F285" s="586" t="s">
        <v>100</v>
      </c>
    </row>
    <row r="286" spans="1:6" ht="15">
      <c r="A286" s="579" t="s">
        <v>749</v>
      </c>
      <c r="B286" s="580" t="s">
        <v>750</v>
      </c>
      <c r="C286" s="589">
        <v>0</v>
      </c>
      <c r="D286" s="581">
        <v>70131.25</v>
      </c>
      <c r="E286" s="580" t="s">
        <v>1549</v>
      </c>
      <c r="F286" s="582" t="s">
        <v>100</v>
      </c>
    </row>
    <row r="287" spans="1:6" ht="15">
      <c r="A287" s="583" t="s">
        <v>751</v>
      </c>
      <c r="B287" s="584" t="s">
        <v>752</v>
      </c>
      <c r="C287" s="590">
        <v>13961.45</v>
      </c>
      <c r="D287" s="585">
        <v>86287.61</v>
      </c>
      <c r="E287" s="584" t="s">
        <v>1549</v>
      </c>
      <c r="F287" s="586" t="s">
        <v>100</v>
      </c>
    </row>
    <row r="288" spans="1:6" ht="15">
      <c r="A288" s="579" t="s">
        <v>753</v>
      </c>
      <c r="B288" s="580" t="s">
        <v>220</v>
      </c>
      <c r="C288" s="589">
        <v>8449.76</v>
      </c>
      <c r="D288" s="581">
        <v>42390.06</v>
      </c>
      <c r="E288" s="580" t="s">
        <v>1549</v>
      </c>
      <c r="F288" s="582" t="s">
        <v>100</v>
      </c>
    </row>
    <row r="289" spans="1:6" ht="15">
      <c r="A289" s="583" t="s">
        <v>754</v>
      </c>
      <c r="B289" s="584" t="s">
        <v>755</v>
      </c>
      <c r="C289" s="590">
        <v>0</v>
      </c>
      <c r="D289" s="585">
        <v>-159.47999999999999</v>
      </c>
      <c r="E289" s="584" t="s">
        <v>1549</v>
      </c>
      <c r="F289" s="586" t="s">
        <v>100</v>
      </c>
    </row>
    <row r="290" spans="1:6" ht="15">
      <c r="A290" s="579" t="s">
        <v>756</v>
      </c>
      <c r="B290" s="580" t="s">
        <v>757</v>
      </c>
      <c r="C290" s="589">
        <v>0</v>
      </c>
      <c r="D290" s="581">
        <v>0</v>
      </c>
      <c r="E290" s="580" t="s">
        <v>1549</v>
      </c>
      <c r="F290" s="582" t="s">
        <v>100</v>
      </c>
    </row>
    <row r="291" spans="1:6" ht="15">
      <c r="A291" s="583" t="s">
        <v>758</v>
      </c>
      <c r="B291" s="584" t="s">
        <v>759</v>
      </c>
      <c r="C291" s="590">
        <v>123542.72</v>
      </c>
      <c r="D291" s="585">
        <v>568731.85</v>
      </c>
      <c r="E291" s="584" t="s">
        <v>1550</v>
      </c>
      <c r="F291" s="586" t="s">
        <v>760</v>
      </c>
    </row>
    <row r="292" spans="1:6" ht="15">
      <c r="A292" s="579" t="s">
        <v>761</v>
      </c>
      <c r="B292" s="580" t="s">
        <v>762</v>
      </c>
      <c r="C292" s="589">
        <v>0</v>
      </c>
      <c r="D292" s="581">
        <v>0</v>
      </c>
      <c r="E292" s="580" t="s">
        <v>1548</v>
      </c>
      <c r="F292" s="582" t="s">
        <v>100</v>
      </c>
    </row>
    <row r="293" spans="1:6" ht="15">
      <c r="A293" s="583" t="s">
        <v>763</v>
      </c>
      <c r="B293" s="584" t="s">
        <v>764</v>
      </c>
      <c r="C293" s="590">
        <v>290876.34000000003</v>
      </c>
      <c r="D293" s="585">
        <v>579705.12</v>
      </c>
      <c r="E293" s="584" t="s">
        <v>1549</v>
      </c>
      <c r="F293" s="586" t="s">
        <v>100</v>
      </c>
    </row>
    <row r="294" spans="1:6" ht="15">
      <c r="A294" s="579" t="s">
        <v>765</v>
      </c>
      <c r="B294" s="580" t="s">
        <v>766</v>
      </c>
      <c r="C294" s="589">
        <v>0</v>
      </c>
      <c r="D294" s="581">
        <v>0</v>
      </c>
      <c r="E294" s="580" t="s">
        <v>1549</v>
      </c>
      <c r="F294" s="582" t="s">
        <v>100</v>
      </c>
    </row>
    <row r="295" spans="1:6" ht="15">
      <c r="A295" s="583" t="s">
        <v>767</v>
      </c>
      <c r="B295" s="584" t="s">
        <v>768</v>
      </c>
      <c r="C295" s="590">
        <v>141543.03</v>
      </c>
      <c r="D295" s="585">
        <v>272636.45</v>
      </c>
      <c r="E295" s="584" t="s">
        <v>1549</v>
      </c>
      <c r="F295" s="586" t="s">
        <v>100</v>
      </c>
    </row>
    <row r="296" spans="1:6" ht="15">
      <c r="A296" s="579" t="s">
        <v>769</v>
      </c>
      <c r="B296" s="580" t="s">
        <v>770</v>
      </c>
      <c r="C296" s="589">
        <v>13310.62</v>
      </c>
      <c r="D296" s="581">
        <v>15627.72</v>
      </c>
      <c r="E296" s="580" t="s">
        <v>1549</v>
      </c>
      <c r="F296" s="582" t="s">
        <v>100</v>
      </c>
    </row>
    <row r="297" spans="1:6" ht="15">
      <c r="A297" s="583" t="s">
        <v>771</v>
      </c>
      <c r="B297" s="584" t="s">
        <v>772</v>
      </c>
      <c r="C297" s="590">
        <v>206153.64</v>
      </c>
      <c r="D297" s="585">
        <v>200149.5</v>
      </c>
      <c r="E297" s="584" t="s">
        <v>1549</v>
      </c>
      <c r="F297" s="586" t="s">
        <v>100</v>
      </c>
    </row>
    <row r="298" spans="1:6" ht="15">
      <c r="A298" s="579" t="s">
        <v>773</v>
      </c>
      <c r="B298" s="580" t="s">
        <v>774</v>
      </c>
      <c r="C298" s="589">
        <v>0</v>
      </c>
      <c r="D298" s="581">
        <v>-50903.86</v>
      </c>
      <c r="E298" s="580" t="s">
        <v>1549</v>
      </c>
      <c r="F298" s="582" t="s">
        <v>100</v>
      </c>
    </row>
    <row r="299" spans="1:6" ht="15">
      <c r="A299" s="583" t="s">
        <v>775</v>
      </c>
      <c r="B299" s="584" t="s">
        <v>776</v>
      </c>
      <c r="C299" s="590">
        <v>651883.63</v>
      </c>
      <c r="D299" s="585">
        <v>1017214.93</v>
      </c>
      <c r="E299" s="584" t="s">
        <v>1550</v>
      </c>
      <c r="F299" s="586" t="s">
        <v>777</v>
      </c>
    </row>
    <row r="300" spans="1:6" ht="15">
      <c r="A300" s="579" t="s">
        <v>778</v>
      </c>
      <c r="B300" s="580" t="s">
        <v>779</v>
      </c>
      <c r="C300" s="589">
        <v>0</v>
      </c>
      <c r="D300" s="581">
        <v>0</v>
      </c>
      <c r="E300" s="580" t="s">
        <v>1548</v>
      </c>
      <c r="F300" s="582" t="s">
        <v>100</v>
      </c>
    </row>
    <row r="301" spans="1:6" ht="15">
      <c r="A301" s="583" t="s">
        <v>780</v>
      </c>
      <c r="B301" s="584" t="s">
        <v>781</v>
      </c>
      <c r="C301" s="590">
        <v>79798</v>
      </c>
      <c r="D301" s="585">
        <v>225671.7</v>
      </c>
      <c r="E301" s="584" t="s">
        <v>1549</v>
      </c>
      <c r="F301" s="586" t="s">
        <v>100</v>
      </c>
    </row>
    <row r="302" spans="1:6" ht="15">
      <c r="A302" s="579" t="s">
        <v>782</v>
      </c>
      <c r="B302" s="580" t="s">
        <v>446</v>
      </c>
      <c r="C302" s="589">
        <v>0</v>
      </c>
      <c r="D302" s="581">
        <v>147122.79999999999</v>
      </c>
      <c r="E302" s="580" t="s">
        <v>1549</v>
      </c>
      <c r="F302" s="582" t="s">
        <v>100</v>
      </c>
    </row>
    <row r="303" spans="1:6" ht="15">
      <c r="A303" s="583" t="s">
        <v>783</v>
      </c>
      <c r="B303" s="584" t="s">
        <v>784</v>
      </c>
      <c r="C303" s="590">
        <v>0</v>
      </c>
      <c r="D303" s="585">
        <v>0</v>
      </c>
      <c r="E303" s="584" t="s">
        <v>1549</v>
      </c>
      <c r="F303" s="586" t="s">
        <v>100</v>
      </c>
    </row>
    <row r="304" spans="1:6" ht="15">
      <c r="A304" s="579" t="s">
        <v>785</v>
      </c>
      <c r="B304" s="580" t="s">
        <v>786</v>
      </c>
      <c r="C304" s="589">
        <v>79798</v>
      </c>
      <c r="D304" s="581">
        <v>372794.5</v>
      </c>
      <c r="E304" s="580" t="s">
        <v>1550</v>
      </c>
      <c r="F304" s="582" t="s">
        <v>787</v>
      </c>
    </row>
    <row r="305" spans="1:6" ht="15">
      <c r="A305" s="583" t="s">
        <v>788</v>
      </c>
      <c r="B305" s="584" t="s">
        <v>789</v>
      </c>
      <c r="C305" s="590">
        <v>0</v>
      </c>
      <c r="D305" s="585">
        <v>0</v>
      </c>
      <c r="E305" s="584" t="s">
        <v>1548</v>
      </c>
      <c r="F305" s="586" t="s">
        <v>100</v>
      </c>
    </row>
    <row r="306" spans="1:6" ht="15">
      <c r="A306" s="579" t="s">
        <v>790</v>
      </c>
      <c r="B306" s="580" t="s">
        <v>733</v>
      </c>
      <c r="C306" s="589">
        <v>0</v>
      </c>
      <c r="D306" s="581">
        <v>0</v>
      </c>
      <c r="E306" s="580" t="s">
        <v>1548</v>
      </c>
      <c r="F306" s="582" t="s">
        <v>100</v>
      </c>
    </row>
    <row r="307" spans="1:6" ht="15">
      <c r="A307" s="583" t="s">
        <v>791</v>
      </c>
      <c r="B307" s="584" t="s">
        <v>792</v>
      </c>
      <c r="C307" s="590">
        <v>0</v>
      </c>
      <c r="D307" s="585">
        <v>8585.7999999999993</v>
      </c>
      <c r="E307" s="584" t="s">
        <v>1549</v>
      </c>
      <c r="F307" s="586" t="s">
        <v>100</v>
      </c>
    </row>
    <row r="308" spans="1:6" ht="15">
      <c r="A308" s="579" t="s">
        <v>793</v>
      </c>
      <c r="B308" s="580" t="s">
        <v>1587</v>
      </c>
      <c r="C308" s="589">
        <v>32618.36</v>
      </c>
      <c r="D308" s="581">
        <v>170512.62</v>
      </c>
      <c r="E308" s="580" t="s">
        <v>1549</v>
      </c>
      <c r="F308" s="582" t="s">
        <v>100</v>
      </c>
    </row>
    <row r="309" spans="1:6" ht="15">
      <c r="A309" s="583" t="s">
        <v>795</v>
      </c>
      <c r="B309" s="584" t="s">
        <v>796</v>
      </c>
      <c r="C309" s="590">
        <v>71604.69</v>
      </c>
      <c r="D309" s="585">
        <v>279694.40999999997</v>
      </c>
      <c r="E309" s="584" t="s">
        <v>1549</v>
      </c>
      <c r="F309" s="586" t="s">
        <v>100</v>
      </c>
    </row>
    <row r="310" spans="1:6" ht="15">
      <c r="A310" s="579" t="s">
        <v>797</v>
      </c>
      <c r="B310" s="580" t="s">
        <v>1588</v>
      </c>
      <c r="C310" s="589">
        <v>0</v>
      </c>
      <c r="D310" s="581">
        <v>0</v>
      </c>
      <c r="E310" s="580" t="s">
        <v>1549</v>
      </c>
      <c r="F310" s="582" t="s">
        <v>100</v>
      </c>
    </row>
    <row r="311" spans="1:6" ht="15">
      <c r="A311" s="583" t="s">
        <v>799</v>
      </c>
      <c r="B311" s="584" t="s">
        <v>798</v>
      </c>
      <c r="C311" s="590">
        <v>10058.86</v>
      </c>
      <c r="D311" s="585">
        <v>191726.32</v>
      </c>
      <c r="E311" s="584" t="s">
        <v>1549</v>
      </c>
      <c r="F311" s="586" t="s">
        <v>100</v>
      </c>
    </row>
    <row r="312" spans="1:6" ht="15">
      <c r="A312" s="579" t="s">
        <v>801</v>
      </c>
      <c r="B312" s="580" t="s">
        <v>802</v>
      </c>
      <c r="C312" s="589">
        <v>0.15</v>
      </c>
      <c r="D312" s="581">
        <v>66519.73</v>
      </c>
      <c r="E312" s="580" t="s">
        <v>1549</v>
      </c>
      <c r="F312" s="582" t="s">
        <v>100</v>
      </c>
    </row>
    <row r="313" spans="1:6" ht="15">
      <c r="A313" s="583" t="s">
        <v>803</v>
      </c>
      <c r="B313" s="584" t="s">
        <v>1589</v>
      </c>
      <c r="C313" s="590">
        <v>232280.29</v>
      </c>
      <c r="D313" s="585">
        <v>1135020.6100000001</v>
      </c>
      <c r="E313" s="584" t="s">
        <v>1549</v>
      </c>
      <c r="F313" s="586" t="s">
        <v>100</v>
      </c>
    </row>
    <row r="314" spans="1:6" ht="15">
      <c r="A314" s="579" t="s">
        <v>1590</v>
      </c>
      <c r="B314" s="580" t="s">
        <v>1591</v>
      </c>
      <c r="C314" s="589">
        <v>18689.46</v>
      </c>
      <c r="D314" s="581">
        <v>94046.71</v>
      </c>
      <c r="E314" s="580" t="s">
        <v>1549</v>
      </c>
      <c r="F314" s="582" t="s">
        <v>100</v>
      </c>
    </row>
    <row r="315" spans="1:6" ht="15">
      <c r="A315" s="583" t="s">
        <v>805</v>
      </c>
      <c r="B315" s="584" t="s">
        <v>806</v>
      </c>
      <c r="C315" s="590">
        <v>365251.81</v>
      </c>
      <c r="D315" s="585">
        <v>1946106.2</v>
      </c>
      <c r="E315" s="584" t="s">
        <v>1550</v>
      </c>
      <c r="F315" s="586" t="s">
        <v>807</v>
      </c>
    </row>
    <row r="316" spans="1:6" ht="15">
      <c r="A316" s="579" t="s">
        <v>808</v>
      </c>
      <c r="B316" s="580" t="s">
        <v>735</v>
      </c>
      <c r="C316" s="589">
        <v>0</v>
      </c>
      <c r="D316" s="581">
        <v>0</v>
      </c>
      <c r="E316" s="580" t="s">
        <v>1548</v>
      </c>
      <c r="F316" s="582" t="s">
        <v>100</v>
      </c>
    </row>
    <row r="317" spans="1:6" ht="15">
      <c r="A317" s="583" t="s">
        <v>809</v>
      </c>
      <c r="B317" s="584" t="s">
        <v>735</v>
      </c>
      <c r="C317" s="590">
        <v>0</v>
      </c>
      <c r="D317" s="585">
        <v>0</v>
      </c>
      <c r="E317" s="584" t="s">
        <v>1549</v>
      </c>
      <c r="F317" s="586" t="s">
        <v>100</v>
      </c>
    </row>
    <row r="318" spans="1:6" ht="15">
      <c r="A318" s="579" t="s">
        <v>810</v>
      </c>
      <c r="B318" s="580" t="s">
        <v>811</v>
      </c>
      <c r="C318" s="589">
        <v>0</v>
      </c>
      <c r="D318" s="581">
        <v>0</v>
      </c>
      <c r="E318" s="580" t="s">
        <v>1550</v>
      </c>
      <c r="F318" s="582" t="s">
        <v>812</v>
      </c>
    </row>
    <row r="319" spans="1:6" ht="15">
      <c r="A319" s="583" t="s">
        <v>813</v>
      </c>
      <c r="B319" s="584" t="s">
        <v>814</v>
      </c>
      <c r="C319" s="590">
        <v>365251.81</v>
      </c>
      <c r="D319" s="585">
        <v>1946106.2</v>
      </c>
      <c r="E319" s="584" t="s">
        <v>1550</v>
      </c>
      <c r="F319" s="586" t="s">
        <v>815</v>
      </c>
    </row>
    <row r="320" spans="1:6" ht="15">
      <c r="A320" s="579" t="s">
        <v>816</v>
      </c>
      <c r="B320" s="580" t="s">
        <v>817</v>
      </c>
      <c r="C320" s="589">
        <v>0</v>
      </c>
      <c r="D320" s="581">
        <v>0</v>
      </c>
      <c r="E320" s="580" t="s">
        <v>1548</v>
      </c>
      <c r="F320" s="582" t="s">
        <v>100</v>
      </c>
    </row>
    <row r="321" spans="1:6" ht="15">
      <c r="A321" s="583" t="s">
        <v>818</v>
      </c>
      <c r="B321" s="584" t="s">
        <v>819</v>
      </c>
      <c r="C321" s="590">
        <v>0</v>
      </c>
      <c r="D321" s="585">
        <v>65625</v>
      </c>
      <c r="E321" s="584" t="s">
        <v>1549</v>
      </c>
      <c r="F321" s="586" t="s">
        <v>100</v>
      </c>
    </row>
    <row r="322" spans="1:6" ht="15">
      <c r="A322" s="579" t="s">
        <v>820</v>
      </c>
      <c r="B322" s="580" t="s">
        <v>821</v>
      </c>
      <c r="C322" s="589">
        <v>0</v>
      </c>
      <c r="D322" s="581">
        <v>65625</v>
      </c>
      <c r="E322" s="580" t="s">
        <v>1550</v>
      </c>
      <c r="F322" s="582" t="s">
        <v>822</v>
      </c>
    </row>
    <row r="323" spans="1:6" ht="15">
      <c r="A323" s="583" t="s">
        <v>823</v>
      </c>
      <c r="B323" s="584" t="s">
        <v>824</v>
      </c>
      <c r="C323" s="590">
        <v>0</v>
      </c>
      <c r="D323" s="585">
        <v>0</v>
      </c>
      <c r="E323" s="584" t="s">
        <v>1548</v>
      </c>
      <c r="F323" s="586" t="s">
        <v>100</v>
      </c>
    </row>
    <row r="324" spans="1:6" ht="15">
      <c r="A324" s="579" t="s">
        <v>825</v>
      </c>
      <c r="B324" s="580" t="s">
        <v>826</v>
      </c>
      <c r="C324" s="589">
        <v>0</v>
      </c>
      <c r="D324" s="581">
        <v>47002.080000000002</v>
      </c>
      <c r="E324" s="580" t="s">
        <v>1549</v>
      </c>
      <c r="F324" s="582" t="s">
        <v>100</v>
      </c>
    </row>
    <row r="325" spans="1:6" ht="15">
      <c r="A325" s="583" t="s">
        <v>827</v>
      </c>
      <c r="B325" s="584" t="s">
        <v>828</v>
      </c>
      <c r="C325" s="590">
        <v>0</v>
      </c>
      <c r="D325" s="585">
        <v>47002.080000000002</v>
      </c>
      <c r="E325" s="584" t="s">
        <v>1550</v>
      </c>
      <c r="F325" s="586" t="s">
        <v>829</v>
      </c>
    </row>
    <row r="326" spans="1:6" ht="15">
      <c r="A326" s="579" t="s">
        <v>830</v>
      </c>
      <c r="B326" s="580" t="s">
        <v>831</v>
      </c>
      <c r="C326" s="589">
        <v>1220476.1599999999</v>
      </c>
      <c r="D326" s="581">
        <v>4017474.56</v>
      </c>
      <c r="E326" s="580" t="s">
        <v>1550</v>
      </c>
      <c r="F326" s="582" t="s">
        <v>832</v>
      </c>
    </row>
    <row r="327" spans="1:6" ht="15">
      <c r="A327" s="583" t="s">
        <v>833</v>
      </c>
      <c r="B327" s="584" t="s">
        <v>97</v>
      </c>
      <c r="C327" s="590">
        <v>0</v>
      </c>
      <c r="D327" s="585">
        <v>0</v>
      </c>
      <c r="E327" s="584" t="s">
        <v>1548</v>
      </c>
      <c r="F327" s="586" t="s">
        <v>100</v>
      </c>
    </row>
    <row r="328" spans="1:6" ht="15">
      <c r="A328" s="579" t="s">
        <v>834</v>
      </c>
      <c r="B328" s="580" t="s">
        <v>835</v>
      </c>
      <c r="C328" s="589">
        <v>447.88</v>
      </c>
      <c r="D328" s="581">
        <v>614.04</v>
      </c>
      <c r="E328" s="580" t="s">
        <v>1549</v>
      </c>
      <c r="F328" s="582" t="s">
        <v>100</v>
      </c>
    </row>
    <row r="329" spans="1:6" ht="15">
      <c r="A329" s="583" t="s">
        <v>836</v>
      </c>
      <c r="B329" s="584" t="s">
        <v>837</v>
      </c>
      <c r="C329" s="590">
        <v>7377.25</v>
      </c>
      <c r="D329" s="585">
        <v>33452.06</v>
      </c>
      <c r="E329" s="584" t="s">
        <v>1549</v>
      </c>
      <c r="F329" s="586" t="s">
        <v>100</v>
      </c>
    </row>
    <row r="330" spans="1:6" ht="15">
      <c r="A330" s="579" t="s">
        <v>1592</v>
      </c>
      <c r="B330" s="580" t="s">
        <v>1593</v>
      </c>
      <c r="C330" s="589">
        <v>611.27</v>
      </c>
      <c r="D330" s="581">
        <v>-596.27</v>
      </c>
      <c r="E330" s="580" t="s">
        <v>1549</v>
      </c>
      <c r="F330" s="582" t="s">
        <v>100</v>
      </c>
    </row>
    <row r="331" spans="1:6" ht="15">
      <c r="A331" s="583" t="s">
        <v>838</v>
      </c>
      <c r="B331" s="584" t="s">
        <v>839</v>
      </c>
      <c r="C331" s="590">
        <v>8436.4</v>
      </c>
      <c r="D331" s="585">
        <v>33469.83</v>
      </c>
      <c r="E331" s="584" t="s">
        <v>1550</v>
      </c>
      <c r="F331" s="586" t="s">
        <v>840</v>
      </c>
    </row>
    <row r="332" spans="1:6" ht="15">
      <c r="A332" s="579" t="s">
        <v>841</v>
      </c>
      <c r="B332" s="580" t="s">
        <v>1152</v>
      </c>
      <c r="C332" s="589">
        <v>6211997.7199999997</v>
      </c>
      <c r="D332" s="581">
        <v>23570218.949999999</v>
      </c>
      <c r="E332" s="580" t="s">
        <v>1550</v>
      </c>
      <c r="F332" s="582" t="s">
        <v>843</v>
      </c>
    </row>
    <row r="333" spans="1:6" ht="15">
      <c r="A333" s="583" t="s">
        <v>844</v>
      </c>
      <c r="B333" s="584" t="s">
        <v>1594</v>
      </c>
      <c r="C333" s="590">
        <v>0</v>
      </c>
      <c r="D333" s="585">
        <v>0</v>
      </c>
      <c r="E333" s="584" t="s">
        <v>1548</v>
      </c>
      <c r="F333" s="586" t="s">
        <v>100</v>
      </c>
    </row>
    <row r="334" spans="1:6" ht="15">
      <c r="A334" s="579" t="s">
        <v>846</v>
      </c>
      <c r="B334" s="580" t="s">
        <v>847</v>
      </c>
      <c r="C334" s="589">
        <v>0</v>
      </c>
      <c r="D334" s="581">
        <v>368179.49</v>
      </c>
      <c r="E334" s="580" t="s">
        <v>1549</v>
      </c>
      <c r="F334" s="582" t="s">
        <v>100</v>
      </c>
    </row>
    <row r="335" spans="1:6" ht="15">
      <c r="A335" s="583" t="s">
        <v>848</v>
      </c>
      <c r="B335" s="584" t="s">
        <v>1533</v>
      </c>
      <c r="C335" s="590">
        <v>0</v>
      </c>
      <c r="D335" s="585">
        <v>0</v>
      </c>
      <c r="E335" s="584" t="s">
        <v>1549</v>
      </c>
      <c r="F335" s="586" t="s">
        <v>100</v>
      </c>
    </row>
    <row r="336" spans="1:6" ht="15">
      <c r="A336" s="579" t="s">
        <v>850</v>
      </c>
      <c r="B336" s="580" t="s">
        <v>851</v>
      </c>
      <c r="C336" s="589">
        <v>0</v>
      </c>
      <c r="D336" s="581">
        <v>368179.49</v>
      </c>
      <c r="E336" s="580" t="s">
        <v>1550</v>
      </c>
      <c r="F336" s="582" t="s">
        <v>852</v>
      </c>
    </row>
    <row r="337" spans="1:6" ht="15">
      <c r="A337" s="583" t="s">
        <v>853</v>
      </c>
      <c r="B337" s="584" t="s">
        <v>854</v>
      </c>
      <c r="C337" s="590">
        <v>0</v>
      </c>
      <c r="D337" s="585">
        <v>0</v>
      </c>
      <c r="E337" s="584" t="s">
        <v>1548</v>
      </c>
      <c r="F337" s="586" t="s">
        <v>100</v>
      </c>
    </row>
    <row r="338" spans="1:6" ht="15">
      <c r="A338" s="579" t="s">
        <v>855</v>
      </c>
      <c r="B338" s="580" t="s">
        <v>1595</v>
      </c>
      <c r="C338" s="589">
        <v>0</v>
      </c>
      <c r="D338" s="581">
        <v>-1099760</v>
      </c>
      <c r="E338" s="580" t="s">
        <v>1549</v>
      </c>
      <c r="F338" s="582" t="s">
        <v>100</v>
      </c>
    </row>
    <row r="339" spans="1:6" ht="15">
      <c r="A339" s="583" t="s">
        <v>857</v>
      </c>
      <c r="B339" s="584" t="s">
        <v>858</v>
      </c>
      <c r="C339" s="590">
        <v>0</v>
      </c>
      <c r="D339" s="585">
        <v>0</v>
      </c>
      <c r="E339" s="584" t="s">
        <v>1549</v>
      </c>
      <c r="F339" s="586" t="s">
        <v>100</v>
      </c>
    </row>
    <row r="340" spans="1:6" ht="15">
      <c r="A340" s="579" t="s">
        <v>859</v>
      </c>
      <c r="B340" s="580" t="s">
        <v>1596</v>
      </c>
      <c r="C340" s="589">
        <v>-27220.52</v>
      </c>
      <c r="D340" s="581">
        <v>-122684.2</v>
      </c>
      <c r="E340" s="580" t="s">
        <v>1549</v>
      </c>
      <c r="F340" s="582" t="s">
        <v>100</v>
      </c>
    </row>
    <row r="341" spans="1:6" ht="15">
      <c r="A341" s="583" t="s">
        <v>861</v>
      </c>
      <c r="B341" s="584" t="s">
        <v>862</v>
      </c>
      <c r="C341" s="590">
        <v>-27220.52</v>
      </c>
      <c r="D341" s="585">
        <v>-854264.71</v>
      </c>
      <c r="E341" s="584" t="s">
        <v>1584</v>
      </c>
      <c r="F341" s="586" t="s">
        <v>863</v>
      </c>
    </row>
    <row r="342" spans="1:6" ht="15">
      <c r="A342" s="579" t="s">
        <v>864</v>
      </c>
      <c r="B342" s="580" t="s">
        <v>1152</v>
      </c>
      <c r="C342" s="589">
        <v>6184777.2000000002</v>
      </c>
      <c r="D342" s="581">
        <v>22715954.239999998</v>
      </c>
      <c r="E342" s="580" t="s">
        <v>1584</v>
      </c>
      <c r="F342" s="582" t="s">
        <v>866</v>
      </c>
    </row>
    <row r="343" spans="1:6" ht="15">
      <c r="A343" s="583" t="s">
        <v>867</v>
      </c>
      <c r="B343" s="584" t="s">
        <v>868</v>
      </c>
      <c r="C343" s="590">
        <v>4112004.11</v>
      </c>
      <c r="D343" s="585">
        <v>3595967.08</v>
      </c>
      <c r="E343" s="584" t="s">
        <v>1584</v>
      </c>
      <c r="F343" s="586" t="s">
        <v>869</v>
      </c>
    </row>
    <row r="344" spans="1:6" ht="15">
      <c r="A344" s="579" t="s">
        <v>870</v>
      </c>
      <c r="B344" s="580" t="s">
        <v>871</v>
      </c>
      <c r="C344" s="589">
        <v>0</v>
      </c>
      <c r="D344" s="581">
        <v>0</v>
      </c>
      <c r="E344" s="580" t="s">
        <v>1548</v>
      </c>
      <c r="F344" s="582" t="s">
        <v>100</v>
      </c>
    </row>
    <row r="345" spans="1:6" ht="15">
      <c r="A345" s="583" t="s">
        <v>873</v>
      </c>
      <c r="B345" s="584" t="s">
        <v>874</v>
      </c>
      <c r="C345" s="590">
        <v>0</v>
      </c>
      <c r="D345" s="585">
        <v>0</v>
      </c>
      <c r="E345" s="584" t="s">
        <v>1548</v>
      </c>
      <c r="F345" s="586" t="s">
        <v>100</v>
      </c>
    </row>
    <row r="346" spans="1:6" ht="15">
      <c r="A346" s="579" t="s">
        <v>875</v>
      </c>
      <c r="B346" s="580" t="s">
        <v>876</v>
      </c>
      <c r="C346" s="589">
        <v>0</v>
      </c>
      <c r="D346" s="581">
        <v>0</v>
      </c>
      <c r="E346" s="580" t="s">
        <v>1548</v>
      </c>
      <c r="F346" s="582" t="s">
        <v>100</v>
      </c>
    </row>
    <row r="347" spans="1:6" ht="15">
      <c r="A347" s="583" t="s">
        <v>877</v>
      </c>
      <c r="B347" s="584" t="s">
        <v>878</v>
      </c>
      <c r="C347" s="590">
        <v>31250</v>
      </c>
      <c r="D347" s="585">
        <v>28753125</v>
      </c>
      <c r="E347" s="584" t="s">
        <v>1549</v>
      </c>
      <c r="F347" s="586" t="s">
        <v>100</v>
      </c>
    </row>
    <row r="348" spans="1:6" ht="15">
      <c r="A348" s="579" t="s">
        <v>879</v>
      </c>
      <c r="B348" s="580" t="s">
        <v>880</v>
      </c>
      <c r="C348" s="589">
        <v>0</v>
      </c>
      <c r="D348" s="581">
        <v>25377042.09</v>
      </c>
      <c r="E348" s="580" t="s">
        <v>1549</v>
      </c>
      <c r="F348" s="582" t="s">
        <v>100</v>
      </c>
    </row>
    <row r="349" spans="1:6" ht="15">
      <c r="A349" s="583" t="s">
        <v>881</v>
      </c>
      <c r="B349" s="584" t="s">
        <v>882</v>
      </c>
      <c r="C349" s="590">
        <v>0</v>
      </c>
      <c r="D349" s="585">
        <v>3537200</v>
      </c>
      <c r="E349" s="584" t="s">
        <v>1549</v>
      </c>
      <c r="F349" s="586" t="s">
        <v>100</v>
      </c>
    </row>
    <row r="350" spans="1:6" ht="15">
      <c r="A350" s="579" t="s">
        <v>883</v>
      </c>
      <c r="B350" s="580" t="s">
        <v>884</v>
      </c>
      <c r="C350" s="589">
        <v>0</v>
      </c>
      <c r="D350" s="581">
        <v>101601</v>
      </c>
      <c r="E350" s="580" t="s">
        <v>1549</v>
      </c>
      <c r="F350" s="582" t="s">
        <v>100</v>
      </c>
    </row>
    <row r="351" spans="1:6" ht="15">
      <c r="A351" s="583" t="s">
        <v>885</v>
      </c>
      <c r="B351" s="584" t="s">
        <v>886</v>
      </c>
      <c r="C351" s="590">
        <v>0</v>
      </c>
      <c r="D351" s="585">
        <v>140400</v>
      </c>
      <c r="E351" s="584" t="s">
        <v>1549</v>
      </c>
      <c r="F351" s="586" t="s">
        <v>100</v>
      </c>
    </row>
    <row r="352" spans="1:6" ht="15">
      <c r="A352" s="579" t="s">
        <v>887</v>
      </c>
      <c r="B352" s="580" t="s">
        <v>888</v>
      </c>
      <c r="C352" s="589">
        <v>0</v>
      </c>
      <c r="D352" s="581">
        <v>134200</v>
      </c>
      <c r="E352" s="580" t="s">
        <v>1549</v>
      </c>
      <c r="F352" s="582" t="s">
        <v>100</v>
      </c>
    </row>
    <row r="353" spans="1:6" ht="15">
      <c r="A353" s="583" t="s">
        <v>1597</v>
      </c>
      <c r="B353" s="584" t="s">
        <v>1582</v>
      </c>
      <c r="C353" s="590">
        <v>-27220.52</v>
      </c>
      <c r="D353" s="585">
        <v>-304786.05</v>
      </c>
      <c r="E353" s="584" t="s">
        <v>1549</v>
      </c>
      <c r="F353" s="586" t="s">
        <v>100</v>
      </c>
    </row>
    <row r="354" spans="1:6" ht="15">
      <c r="A354" s="579" t="s">
        <v>1598</v>
      </c>
      <c r="B354" s="580" t="s">
        <v>1599</v>
      </c>
      <c r="C354" s="589">
        <v>0</v>
      </c>
      <c r="D354" s="581">
        <v>0</v>
      </c>
      <c r="E354" s="580" t="s">
        <v>1549</v>
      </c>
      <c r="F354" s="582" t="s">
        <v>100</v>
      </c>
    </row>
    <row r="355" spans="1:6" ht="15">
      <c r="A355" s="583" t="s">
        <v>889</v>
      </c>
      <c r="B355" s="584" t="s">
        <v>890</v>
      </c>
      <c r="C355" s="590">
        <v>4029.48</v>
      </c>
      <c r="D355" s="585">
        <v>57738782.039999999</v>
      </c>
      <c r="E355" s="584" t="s">
        <v>1550</v>
      </c>
      <c r="F355" s="586" t="s">
        <v>891</v>
      </c>
    </row>
    <row r="356" spans="1:6" ht="15">
      <c r="A356" s="579" t="s">
        <v>892</v>
      </c>
      <c r="B356" s="580" t="s">
        <v>893</v>
      </c>
      <c r="C356" s="589">
        <v>0</v>
      </c>
      <c r="D356" s="581">
        <v>0</v>
      </c>
      <c r="E356" s="580" t="s">
        <v>1548</v>
      </c>
      <c r="F356" s="582" t="s">
        <v>100</v>
      </c>
    </row>
    <row r="357" spans="1:6" ht="15">
      <c r="A357" s="583" t="s">
        <v>894</v>
      </c>
      <c r="B357" s="584" t="s">
        <v>895</v>
      </c>
      <c r="C357" s="590">
        <v>-14000</v>
      </c>
      <c r="D357" s="585">
        <v>42000</v>
      </c>
      <c r="E357" s="584" t="s">
        <v>1549</v>
      </c>
      <c r="F357" s="586" t="s">
        <v>100</v>
      </c>
    </row>
    <row r="358" spans="1:6" ht="15">
      <c r="A358" s="579" t="s">
        <v>896</v>
      </c>
      <c r="B358" s="580" t="s">
        <v>897</v>
      </c>
      <c r="C358" s="589">
        <v>-14000</v>
      </c>
      <c r="D358" s="581">
        <v>42000</v>
      </c>
      <c r="E358" s="580" t="s">
        <v>1550</v>
      </c>
      <c r="F358" s="582" t="s">
        <v>898</v>
      </c>
    </row>
    <row r="359" spans="1:6" ht="15">
      <c r="A359" s="583" t="s">
        <v>1600</v>
      </c>
      <c r="B359" s="584" t="s">
        <v>1601</v>
      </c>
      <c r="C359" s="590">
        <v>0</v>
      </c>
      <c r="D359" s="585">
        <v>0</v>
      </c>
      <c r="E359" s="584" t="s">
        <v>1548</v>
      </c>
      <c r="F359" s="586" t="s">
        <v>100</v>
      </c>
    </row>
    <row r="360" spans="1:6" ht="15">
      <c r="A360" s="579" t="s">
        <v>1602</v>
      </c>
      <c r="B360" s="580" t="s">
        <v>1603</v>
      </c>
      <c r="C360" s="589">
        <v>44151.93</v>
      </c>
      <c r="D360" s="581">
        <v>1352031.73</v>
      </c>
      <c r="E360" s="580" t="s">
        <v>1549</v>
      </c>
      <c r="F360" s="582" t="s">
        <v>100</v>
      </c>
    </row>
    <row r="361" spans="1:6" ht="15">
      <c r="A361" s="583" t="s">
        <v>1604</v>
      </c>
      <c r="B361" s="584" t="s">
        <v>1605</v>
      </c>
      <c r="C361" s="590">
        <v>44151.93</v>
      </c>
      <c r="D361" s="585">
        <v>1352031.73</v>
      </c>
      <c r="E361" s="584" t="s">
        <v>1550</v>
      </c>
      <c r="F361" s="586" t="s">
        <v>1606</v>
      </c>
    </row>
    <row r="362" spans="1:6" ht="15">
      <c r="A362" s="579" t="s">
        <v>899</v>
      </c>
      <c r="B362" s="580" t="s">
        <v>900</v>
      </c>
      <c r="C362" s="589">
        <v>0</v>
      </c>
      <c r="D362" s="581">
        <v>0</v>
      </c>
      <c r="E362" s="580" t="s">
        <v>1548</v>
      </c>
      <c r="F362" s="582" t="s">
        <v>100</v>
      </c>
    </row>
    <row r="363" spans="1:6" ht="15">
      <c r="A363" s="583" t="s">
        <v>901</v>
      </c>
      <c r="B363" s="584" t="s">
        <v>902</v>
      </c>
      <c r="C363" s="590">
        <v>0</v>
      </c>
      <c r="D363" s="585">
        <v>2930383.87</v>
      </c>
      <c r="E363" s="584" t="s">
        <v>1549</v>
      </c>
      <c r="F363" s="586" t="s">
        <v>100</v>
      </c>
    </row>
    <row r="364" spans="1:6" ht="15">
      <c r="A364" s="579" t="s">
        <v>903</v>
      </c>
      <c r="B364" s="580" t="s">
        <v>904</v>
      </c>
      <c r="C364" s="589">
        <v>-4687.5</v>
      </c>
      <c r="D364" s="581">
        <v>32812.5</v>
      </c>
      <c r="E364" s="580" t="s">
        <v>1549</v>
      </c>
      <c r="F364" s="582" t="s">
        <v>100</v>
      </c>
    </row>
    <row r="365" spans="1:6" ht="15">
      <c r="A365" s="583" t="s">
        <v>905</v>
      </c>
      <c r="B365" s="584" t="s">
        <v>906</v>
      </c>
      <c r="C365" s="590">
        <v>0</v>
      </c>
      <c r="D365" s="585">
        <v>8250</v>
      </c>
      <c r="E365" s="584" t="s">
        <v>1549</v>
      </c>
      <c r="F365" s="586" t="s">
        <v>100</v>
      </c>
    </row>
    <row r="366" spans="1:6" ht="15">
      <c r="A366" s="579" t="s">
        <v>907</v>
      </c>
      <c r="B366" s="580" t="s">
        <v>908</v>
      </c>
      <c r="C366" s="589">
        <v>0</v>
      </c>
      <c r="D366" s="581">
        <v>1339102.5</v>
      </c>
      <c r="E366" s="580" t="s">
        <v>1549</v>
      </c>
      <c r="F366" s="582" t="s">
        <v>100</v>
      </c>
    </row>
    <row r="367" spans="1:6" ht="15">
      <c r="A367" s="583" t="s">
        <v>909</v>
      </c>
      <c r="B367" s="584" t="s">
        <v>910</v>
      </c>
      <c r="C367" s="590">
        <v>0</v>
      </c>
      <c r="D367" s="585">
        <v>-31248</v>
      </c>
      <c r="E367" s="584" t="s">
        <v>1549</v>
      </c>
      <c r="F367" s="586" t="s">
        <v>100</v>
      </c>
    </row>
    <row r="368" spans="1:6" ht="15">
      <c r="A368" s="579" t="s">
        <v>911</v>
      </c>
      <c r="B368" s="580" t="s">
        <v>912</v>
      </c>
      <c r="C368" s="589">
        <v>0</v>
      </c>
      <c r="D368" s="581">
        <v>1500000</v>
      </c>
      <c r="E368" s="580" t="s">
        <v>1549</v>
      </c>
      <c r="F368" s="582" t="s">
        <v>100</v>
      </c>
    </row>
    <row r="369" spans="1:6" ht="15">
      <c r="A369" s="583" t="s">
        <v>913</v>
      </c>
      <c r="B369" s="584" t="s">
        <v>914</v>
      </c>
      <c r="C369" s="590">
        <v>-4687.5</v>
      </c>
      <c r="D369" s="585">
        <v>5779300.8700000001</v>
      </c>
      <c r="E369" s="584" t="s">
        <v>1550</v>
      </c>
      <c r="F369" s="586" t="s">
        <v>915</v>
      </c>
    </row>
    <row r="370" spans="1:6" ht="15">
      <c r="A370" s="579" t="s">
        <v>916</v>
      </c>
      <c r="B370" s="580" t="s">
        <v>917</v>
      </c>
      <c r="C370" s="589">
        <v>29493.91</v>
      </c>
      <c r="D370" s="581">
        <v>64912114.640000001</v>
      </c>
      <c r="E370" s="580" t="s">
        <v>1550</v>
      </c>
      <c r="F370" s="582" t="s">
        <v>918</v>
      </c>
    </row>
    <row r="371" spans="1:6" ht="15">
      <c r="A371" s="583" t="s">
        <v>919</v>
      </c>
      <c r="B371" s="584" t="s">
        <v>920</v>
      </c>
      <c r="C371" s="590">
        <v>0</v>
      </c>
      <c r="D371" s="585">
        <v>0</v>
      </c>
      <c r="E371" s="584" t="s">
        <v>1548</v>
      </c>
      <c r="F371" s="586" t="s">
        <v>100</v>
      </c>
    </row>
    <row r="372" spans="1:6" ht="15">
      <c r="A372" s="579" t="s">
        <v>921</v>
      </c>
      <c r="B372" s="580" t="s">
        <v>922</v>
      </c>
      <c r="C372" s="589">
        <v>0</v>
      </c>
      <c r="D372" s="581">
        <v>0</v>
      </c>
      <c r="E372" s="580" t="s">
        <v>1548</v>
      </c>
      <c r="F372" s="582" t="s">
        <v>100</v>
      </c>
    </row>
    <row r="373" spans="1:6" ht="15">
      <c r="A373" s="583" t="s">
        <v>923</v>
      </c>
      <c r="B373" s="584" t="s">
        <v>924</v>
      </c>
      <c r="C373" s="590">
        <v>-293228.11</v>
      </c>
      <c r="D373" s="585">
        <v>1200.07</v>
      </c>
      <c r="E373" s="584" t="s">
        <v>1549</v>
      </c>
      <c r="F373" s="586" t="s">
        <v>100</v>
      </c>
    </row>
    <row r="374" spans="1:6" ht="15">
      <c r="A374" s="579" t="s">
        <v>925</v>
      </c>
      <c r="B374" s="580" t="s">
        <v>926</v>
      </c>
      <c r="C374" s="589">
        <v>0</v>
      </c>
      <c r="D374" s="581">
        <v>0</v>
      </c>
      <c r="E374" s="580" t="s">
        <v>1549</v>
      </c>
      <c r="F374" s="582" t="s">
        <v>100</v>
      </c>
    </row>
    <row r="375" spans="1:6" ht="15">
      <c r="A375" s="583" t="s">
        <v>927</v>
      </c>
      <c r="B375" s="584" t="s">
        <v>1607</v>
      </c>
      <c r="C375" s="590">
        <v>0</v>
      </c>
      <c r="D375" s="585">
        <v>0</v>
      </c>
      <c r="E375" s="584" t="s">
        <v>1549</v>
      </c>
      <c r="F375" s="586" t="s">
        <v>100</v>
      </c>
    </row>
    <row r="376" spans="1:6" ht="15">
      <c r="A376" s="579" t="s">
        <v>929</v>
      </c>
      <c r="B376" s="580" t="s">
        <v>930</v>
      </c>
      <c r="C376" s="589">
        <v>0</v>
      </c>
      <c r="D376" s="581">
        <v>0</v>
      </c>
      <c r="E376" s="580" t="s">
        <v>1549</v>
      </c>
      <c r="F376" s="582" t="s">
        <v>100</v>
      </c>
    </row>
    <row r="377" spans="1:6" ht="15">
      <c r="A377" s="583" t="s">
        <v>931</v>
      </c>
      <c r="B377" s="584" t="s">
        <v>1608</v>
      </c>
      <c r="C377" s="590">
        <v>-275456.87</v>
      </c>
      <c r="D377" s="585">
        <v>573.29999999999995</v>
      </c>
      <c r="E377" s="584" t="s">
        <v>1549</v>
      </c>
      <c r="F377" s="586" t="s">
        <v>100</v>
      </c>
    </row>
    <row r="378" spans="1:6" ht="15">
      <c r="A378" s="579" t="s">
        <v>933</v>
      </c>
      <c r="B378" s="580" t="s">
        <v>1609</v>
      </c>
      <c r="C378" s="589">
        <v>0</v>
      </c>
      <c r="D378" s="581">
        <v>1000000</v>
      </c>
      <c r="E378" s="580" t="s">
        <v>1549</v>
      </c>
      <c r="F378" s="582" t="s">
        <v>100</v>
      </c>
    </row>
    <row r="379" spans="1:6" ht="15">
      <c r="A379" s="583" t="s">
        <v>935</v>
      </c>
      <c r="B379" s="584" t="s">
        <v>936</v>
      </c>
      <c r="C379" s="590">
        <v>0</v>
      </c>
      <c r="D379" s="585">
        <v>115000</v>
      </c>
      <c r="E379" s="584" t="s">
        <v>1549</v>
      </c>
      <c r="F379" s="586" t="s">
        <v>100</v>
      </c>
    </row>
    <row r="380" spans="1:6" ht="15">
      <c r="A380" s="579" t="s">
        <v>937</v>
      </c>
      <c r="B380" s="580" t="s">
        <v>938</v>
      </c>
      <c r="C380" s="589">
        <v>-568684.98</v>
      </c>
      <c r="D380" s="581">
        <v>1116773.3700000001</v>
      </c>
      <c r="E380" s="580" t="s">
        <v>1550</v>
      </c>
      <c r="F380" s="582" t="s">
        <v>939</v>
      </c>
    </row>
    <row r="381" spans="1:6" ht="15">
      <c r="A381" s="583" t="s">
        <v>940</v>
      </c>
      <c r="B381" s="584" t="s">
        <v>941</v>
      </c>
      <c r="C381" s="590">
        <v>0</v>
      </c>
      <c r="D381" s="585">
        <v>0</v>
      </c>
      <c r="E381" s="584" t="s">
        <v>1548</v>
      </c>
      <c r="F381" s="586" t="s">
        <v>100</v>
      </c>
    </row>
    <row r="382" spans="1:6" ht="15">
      <c r="A382" s="579" t="s">
        <v>942</v>
      </c>
      <c r="B382" s="580" t="s">
        <v>943</v>
      </c>
      <c r="C382" s="589">
        <v>0</v>
      </c>
      <c r="D382" s="581">
        <v>13500</v>
      </c>
      <c r="E382" s="580" t="s">
        <v>1549</v>
      </c>
      <c r="F382" s="582" t="s">
        <v>100</v>
      </c>
    </row>
    <row r="383" spans="1:6" ht="15">
      <c r="A383" s="583" t="s">
        <v>944</v>
      </c>
      <c r="B383" s="584" t="s">
        <v>945</v>
      </c>
      <c r="C383" s="590">
        <v>0</v>
      </c>
      <c r="D383" s="585">
        <v>5000</v>
      </c>
      <c r="E383" s="584" t="s">
        <v>1549</v>
      </c>
      <c r="F383" s="586" t="s">
        <v>100</v>
      </c>
    </row>
    <row r="384" spans="1:6" ht="15">
      <c r="A384" s="579" t="s">
        <v>946</v>
      </c>
      <c r="B384" s="580" t="s">
        <v>947</v>
      </c>
      <c r="C384" s="589">
        <v>0</v>
      </c>
      <c r="D384" s="581">
        <v>0</v>
      </c>
      <c r="E384" s="580" t="s">
        <v>1549</v>
      </c>
      <c r="F384" s="582" t="s">
        <v>100</v>
      </c>
    </row>
    <row r="385" spans="1:6" ht="15">
      <c r="A385" s="583" t="s">
        <v>948</v>
      </c>
      <c r="B385" s="584" t="s">
        <v>949</v>
      </c>
      <c r="C385" s="590">
        <v>0</v>
      </c>
      <c r="D385" s="585">
        <v>0</v>
      </c>
      <c r="E385" s="584" t="s">
        <v>1549</v>
      </c>
      <c r="F385" s="586" t="s">
        <v>100</v>
      </c>
    </row>
    <row r="386" spans="1:6" ht="15">
      <c r="A386" s="579" t="s">
        <v>950</v>
      </c>
      <c r="B386" s="580" t="s">
        <v>951</v>
      </c>
      <c r="C386" s="589">
        <v>0</v>
      </c>
      <c r="D386" s="581">
        <v>0</v>
      </c>
      <c r="E386" s="580" t="s">
        <v>1549</v>
      </c>
      <c r="F386" s="582" t="s">
        <v>100</v>
      </c>
    </row>
    <row r="387" spans="1:6" ht="15">
      <c r="A387" s="583" t="s">
        <v>952</v>
      </c>
      <c r="B387" s="584" t="s">
        <v>953</v>
      </c>
      <c r="C387" s="590">
        <v>0</v>
      </c>
      <c r="D387" s="585">
        <v>18500</v>
      </c>
      <c r="E387" s="584" t="s">
        <v>1550</v>
      </c>
      <c r="F387" s="586" t="s">
        <v>954</v>
      </c>
    </row>
    <row r="388" spans="1:6" ht="15">
      <c r="A388" s="579" t="s">
        <v>955</v>
      </c>
      <c r="B388" s="580" t="s">
        <v>956</v>
      </c>
      <c r="C388" s="589">
        <v>0</v>
      </c>
      <c r="D388" s="581">
        <v>0</v>
      </c>
      <c r="E388" s="580" t="s">
        <v>1548</v>
      </c>
      <c r="F388" s="582" t="s">
        <v>100</v>
      </c>
    </row>
    <row r="389" spans="1:6" ht="15">
      <c r="A389" s="583" t="s">
        <v>957</v>
      </c>
      <c r="B389" s="584" t="s">
        <v>958</v>
      </c>
      <c r="C389" s="590">
        <v>42000</v>
      </c>
      <c r="D389" s="585">
        <v>75797.100000000006</v>
      </c>
      <c r="E389" s="584" t="s">
        <v>1549</v>
      </c>
      <c r="F389" s="586" t="s">
        <v>100</v>
      </c>
    </row>
    <row r="390" spans="1:6" ht="15">
      <c r="A390" s="579" t="s">
        <v>959</v>
      </c>
      <c r="B390" s="580" t="s">
        <v>960</v>
      </c>
      <c r="C390" s="589">
        <v>137740.48000000001</v>
      </c>
      <c r="D390" s="581">
        <v>447133.76</v>
      </c>
      <c r="E390" s="580" t="s">
        <v>1549</v>
      </c>
      <c r="F390" s="582" t="s">
        <v>100</v>
      </c>
    </row>
    <row r="391" spans="1:6" ht="15">
      <c r="A391" s="583" t="s">
        <v>961</v>
      </c>
      <c r="B391" s="584" t="s">
        <v>962</v>
      </c>
      <c r="C391" s="590">
        <v>0</v>
      </c>
      <c r="D391" s="585">
        <v>238978.11</v>
      </c>
      <c r="E391" s="584" t="s">
        <v>1549</v>
      </c>
      <c r="F391" s="586" t="s">
        <v>100</v>
      </c>
    </row>
    <row r="392" spans="1:6" ht="15">
      <c r="A392" s="579" t="s">
        <v>963</v>
      </c>
      <c r="B392" s="580" t="s">
        <v>964</v>
      </c>
      <c r="C392" s="589">
        <v>0</v>
      </c>
      <c r="D392" s="581">
        <v>0</v>
      </c>
      <c r="E392" s="580" t="s">
        <v>1549</v>
      </c>
      <c r="F392" s="582" t="s">
        <v>100</v>
      </c>
    </row>
    <row r="393" spans="1:6" ht="15">
      <c r="A393" s="583" t="s">
        <v>965</v>
      </c>
      <c r="B393" s="584" t="s">
        <v>966</v>
      </c>
      <c r="C393" s="590">
        <v>179740.48</v>
      </c>
      <c r="D393" s="585">
        <v>761908.97</v>
      </c>
      <c r="E393" s="584" t="s">
        <v>1550</v>
      </c>
      <c r="F393" s="586" t="s">
        <v>967</v>
      </c>
    </row>
    <row r="394" spans="1:6" ht="15">
      <c r="A394" s="579" t="s">
        <v>968</v>
      </c>
      <c r="B394" s="580" t="s">
        <v>938</v>
      </c>
      <c r="C394" s="589">
        <v>-388944.5</v>
      </c>
      <c r="D394" s="581">
        <v>1897182.34</v>
      </c>
      <c r="E394" s="580" t="s">
        <v>1550</v>
      </c>
      <c r="F394" s="582" t="s">
        <v>969</v>
      </c>
    </row>
    <row r="395" spans="1:6" ht="15">
      <c r="A395" s="583" t="s">
        <v>970</v>
      </c>
      <c r="B395" s="584" t="s">
        <v>971</v>
      </c>
      <c r="C395" s="590">
        <v>0</v>
      </c>
      <c r="D395" s="585">
        <v>0</v>
      </c>
      <c r="E395" s="584" t="s">
        <v>1548</v>
      </c>
      <c r="F395" s="586" t="s">
        <v>100</v>
      </c>
    </row>
    <row r="396" spans="1:6" ht="15">
      <c r="A396" s="579" t="s">
        <v>972</v>
      </c>
      <c r="B396" s="580" t="s">
        <v>973</v>
      </c>
      <c r="C396" s="589">
        <v>-4061355.72</v>
      </c>
      <c r="D396" s="581">
        <v>-4357252.82</v>
      </c>
      <c r="E396" s="580" t="s">
        <v>1549</v>
      </c>
      <c r="F396" s="582" t="s">
        <v>100</v>
      </c>
    </row>
    <row r="397" spans="1:6" ht="15">
      <c r="A397" s="583" t="s">
        <v>974</v>
      </c>
      <c r="B397" s="584" t="s">
        <v>975</v>
      </c>
      <c r="C397" s="590">
        <v>0</v>
      </c>
      <c r="D397" s="585">
        <v>0</v>
      </c>
      <c r="E397" s="584" t="s">
        <v>1549</v>
      </c>
      <c r="F397" s="586" t="s">
        <v>100</v>
      </c>
    </row>
    <row r="398" spans="1:6" ht="15">
      <c r="A398" s="579" t="s">
        <v>976</v>
      </c>
      <c r="B398" s="580" t="s">
        <v>977</v>
      </c>
      <c r="C398" s="589">
        <v>-11690.8</v>
      </c>
      <c r="D398" s="581">
        <v>1000</v>
      </c>
      <c r="E398" s="580" t="s">
        <v>1549</v>
      </c>
      <c r="F398" s="582" t="s">
        <v>100</v>
      </c>
    </row>
    <row r="399" spans="1:6" ht="15">
      <c r="A399" s="583" t="s">
        <v>980</v>
      </c>
      <c r="B399" s="584" t="s">
        <v>981</v>
      </c>
      <c r="C399" s="590">
        <v>17927.98</v>
      </c>
      <c r="D399" s="585">
        <v>-11738.04</v>
      </c>
      <c r="E399" s="584" t="s">
        <v>1549</v>
      </c>
      <c r="F399" s="586" t="s">
        <v>100</v>
      </c>
    </row>
    <row r="400" spans="1:6" ht="15">
      <c r="A400" s="579" t="s">
        <v>982</v>
      </c>
      <c r="B400" s="580" t="s">
        <v>983</v>
      </c>
      <c r="C400" s="589">
        <v>0</v>
      </c>
      <c r="D400" s="581">
        <v>0</v>
      </c>
      <c r="E400" s="580" t="s">
        <v>1549</v>
      </c>
      <c r="F400" s="582" t="s">
        <v>100</v>
      </c>
    </row>
    <row r="401" spans="1:6" ht="15">
      <c r="A401" s="583" t="s">
        <v>984</v>
      </c>
      <c r="B401" s="584" t="s">
        <v>985</v>
      </c>
      <c r="C401" s="590">
        <v>0</v>
      </c>
      <c r="D401" s="585">
        <v>0</v>
      </c>
      <c r="E401" s="584" t="s">
        <v>1549</v>
      </c>
      <c r="F401" s="586" t="s">
        <v>100</v>
      </c>
    </row>
    <row r="402" spans="1:6" ht="15">
      <c r="A402" s="579" t="s">
        <v>986</v>
      </c>
      <c r="B402" s="580" t="s">
        <v>987</v>
      </c>
      <c r="C402" s="589">
        <v>0</v>
      </c>
      <c r="D402" s="581">
        <v>3721.5</v>
      </c>
      <c r="E402" s="580" t="s">
        <v>1549</v>
      </c>
      <c r="F402" s="582" t="s">
        <v>100</v>
      </c>
    </row>
    <row r="403" spans="1:6" ht="15">
      <c r="A403" s="583" t="s">
        <v>988</v>
      </c>
      <c r="B403" s="584" t="s">
        <v>989</v>
      </c>
      <c r="C403" s="590">
        <v>-1694.2</v>
      </c>
      <c r="D403" s="585">
        <v>1000.4</v>
      </c>
      <c r="E403" s="584" t="s">
        <v>1549</v>
      </c>
      <c r="F403" s="586" t="s">
        <v>100</v>
      </c>
    </row>
    <row r="404" spans="1:6" ht="15">
      <c r="A404" s="579" t="s">
        <v>990</v>
      </c>
      <c r="B404" s="580" t="s">
        <v>991</v>
      </c>
      <c r="C404" s="589">
        <v>-3802.4</v>
      </c>
      <c r="D404" s="581">
        <v>3712</v>
      </c>
      <c r="E404" s="580" t="s">
        <v>1549</v>
      </c>
      <c r="F404" s="582" t="s">
        <v>100</v>
      </c>
    </row>
    <row r="405" spans="1:6" ht="15">
      <c r="A405" s="583" t="s">
        <v>992</v>
      </c>
      <c r="B405" s="584" t="s">
        <v>993</v>
      </c>
      <c r="C405" s="590">
        <v>0</v>
      </c>
      <c r="D405" s="585">
        <v>0</v>
      </c>
      <c r="E405" s="584" t="s">
        <v>1549</v>
      </c>
      <c r="F405" s="586" t="s">
        <v>100</v>
      </c>
    </row>
    <row r="406" spans="1:6" ht="15">
      <c r="A406" s="579" t="s">
        <v>994</v>
      </c>
      <c r="B406" s="580" t="s">
        <v>1610</v>
      </c>
      <c r="C406" s="589">
        <v>0</v>
      </c>
      <c r="D406" s="581">
        <v>0</v>
      </c>
      <c r="E406" s="580" t="s">
        <v>1549</v>
      </c>
      <c r="F406" s="582" t="s">
        <v>100</v>
      </c>
    </row>
    <row r="407" spans="1:6" ht="15">
      <c r="A407" s="583" t="s">
        <v>996</v>
      </c>
      <c r="B407" s="584" t="s">
        <v>997</v>
      </c>
      <c r="C407" s="590">
        <v>0</v>
      </c>
      <c r="D407" s="585">
        <v>1000</v>
      </c>
      <c r="E407" s="584" t="s">
        <v>1549</v>
      </c>
      <c r="F407" s="586" t="s">
        <v>100</v>
      </c>
    </row>
    <row r="408" spans="1:6" ht="15">
      <c r="A408" s="579" t="s">
        <v>998</v>
      </c>
      <c r="B408" s="580" t="s">
        <v>999</v>
      </c>
      <c r="C408" s="589">
        <v>6959.4</v>
      </c>
      <c r="D408" s="581">
        <v>8756.7999999999993</v>
      </c>
      <c r="E408" s="580" t="s">
        <v>1549</v>
      </c>
      <c r="F408" s="582" t="s">
        <v>100</v>
      </c>
    </row>
    <row r="409" spans="1:6" ht="15">
      <c r="A409" s="583" t="s">
        <v>1000</v>
      </c>
      <c r="B409" s="584" t="s">
        <v>1611</v>
      </c>
      <c r="C409" s="590">
        <v>-214641.12</v>
      </c>
      <c r="D409" s="585">
        <v>3665.29</v>
      </c>
      <c r="E409" s="584" t="s">
        <v>1549</v>
      </c>
      <c r="F409" s="586" t="s">
        <v>100</v>
      </c>
    </row>
    <row r="410" spans="1:6" ht="15">
      <c r="A410" s="579" t="s">
        <v>1612</v>
      </c>
      <c r="B410" s="580" t="s">
        <v>1613</v>
      </c>
      <c r="C410" s="589">
        <v>-421119.11</v>
      </c>
      <c r="D410" s="581">
        <v>23870.81</v>
      </c>
      <c r="E410" s="580" t="s">
        <v>1549</v>
      </c>
      <c r="F410" s="582" t="s">
        <v>100</v>
      </c>
    </row>
    <row r="411" spans="1:6" ht="15">
      <c r="A411" s="583" t="s">
        <v>1002</v>
      </c>
      <c r="B411" s="584" t="s">
        <v>1003</v>
      </c>
      <c r="C411" s="590">
        <v>-4689415.97</v>
      </c>
      <c r="D411" s="585">
        <v>-4322264.0599999996</v>
      </c>
      <c r="E411" s="584" t="s">
        <v>1550</v>
      </c>
      <c r="F411" s="586" t="s">
        <v>1004</v>
      </c>
    </row>
    <row r="412" spans="1:6" ht="15">
      <c r="A412" s="579" t="s">
        <v>1005</v>
      </c>
      <c r="B412" s="580" t="s">
        <v>1006</v>
      </c>
      <c r="C412" s="589">
        <v>-5048866.5599999996</v>
      </c>
      <c r="D412" s="581">
        <v>62487032.920000002</v>
      </c>
      <c r="E412" s="580" t="s">
        <v>1550</v>
      </c>
      <c r="F412" s="582" t="s">
        <v>1007</v>
      </c>
    </row>
    <row r="413" spans="1:6" ht="15">
      <c r="A413" s="583" t="s">
        <v>1008</v>
      </c>
      <c r="B413" s="584" t="s">
        <v>1009</v>
      </c>
      <c r="C413" s="590">
        <v>0</v>
      </c>
      <c r="D413" s="585">
        <v>0</v>
      </c>
      <c r="E413" s="584" t="s">
        <v>1548</v>
      </c>
      <c r="F413" s="586" t="s">
        <v>100</v>
      </c>
    </row>
    <row r="414" spans="1:6" ht="15">
      <c r="A414" s="579" t="s">
        <v>1010</v>
      </c>
      <c r="B414" s="580" t="s">
        <v>1011</v>
      </c>
      <c r="C414" s="589">
        <v>0</v>
      </c>
      <c r="D414" s="581">
        <v>0</v>
      </c>
      <c r="E414" s="580" t="s">
        <v>1548</v>
      </c>
      <c r="F414" s="582" t="s">
        <v>100</v>
      </c>
    </row>
    <row r="415" spans="1:6" ht="15">
      <c r="A415" s="583" t="s">
        <v>1012</v>
      </c>
      <c r="B415" s="584" t="s">
        <v>1013</v>
      </c>
      <c r="C415" s="590">
        <v>0</v>
      </c>
      <c r="D415" s="585">
        <v>0</v>
      </c>
      <c r="E415" s="584" t="s">
        <v>1548</v>
      </c>
      <c r="F415" s="586" t="s">
        <v>100</v>
      </c>
    </row>
    <row r="416" spans="1:6" ht="15">
      <c r="A416" s="579" t="s">
        <v>1014</v>
      </c>
      <c r="B416" s="580" t="s">
        <v>1015</v>
      </c>
      <c r="C416" s="589">
        <v>0</v>
      </c>
      <c r="D416" s="581">
        <v>-23383683.399999999</v>
      </c>
      <c r="E416" s="580" t="s">
        <v>1549</v>
      </c>
      <c r="F416" s="582" t="s">
        <v>100</v>
      </c>
    </row>
    <row r="417" spans="1:6" ht="15">
      <c r="A417" s="583" t="s">
        <v>1016</v>
      </c>
      <c r="B417" s="584" t="s">
        <v>106</v>
      </c>
      <c r="C417" s="590">
        <v>4112004.11</v>
      </c>
      <c r="D417" s="585">
        <v>3595967.08</v>
      </c>
      <c r="E417" s="584" t="s">
        <v>1584</v>
      </c>
      <c r="F417" s="586" t="s">
        <v>869</v>
      </c>
    </row>
    <row r="418" spans="1:6" ht="15">
      <c r="A418" s="579" t="s">
        <v>1017</v>
      </c>
      <c r="B418" s="580" t="s">
        <v>1018</v>
      </c>
      <c r="C418" s="589">
        <v>0</v>
      </c>
      <c r="D418" s="581">
        <v>-3131550</v>
      </c>
      <c r="E418" s="580" t="s">
        <v>1549</v>
      </c>
      <c r="F418" s="582" t="s">
        <v>100</v>
      </c>
    </row>
    <row r="419" spans="1:6" ht="15">
      <c r="A419" s="583" t="s">
        <v>1019</v>
      </c>
      <c r="B419" s="584" t="s">
        <v>1020</v>
      </c>
      <c r="C419" s="590">
        <v>0</v>
      </c>
      <c r="D419" s="585">
        <v>1139450.97</v>
      </c>
      <c r="E419" s="584" t="s">
        <v>1549</v>
      </c>
      <c r="F419" s="586" t="s">
        <v>100</v>
      </c>
    </row>
    <row r="420" spans="1:6" ht="15">
      <c r="A420" s="579" t="s">
        <v>1021</v>
      </c>
      <c r="B420" s="580" t="s">
        <v>1022</v>
      </c>
      <c r="C420" s="589">
        <v>0</v>
      </c>
      <c r="D420" s="581">
        <v>-20325146.149999999</v>
      </c>
      <c r="E420" s="580" t="s">
        <v>1549</v>
      </c>
      <c r="F420" s="582" t="s">
        <v>100</v>
      </c>
    </row>
    <row r="421" spans="1:6" ht="15">
      <c r="A421" s="583" t="s">
        <v>1023</v>
      </c>
      <c r="B421" s="584" t="s">
        <v>1024</v>
      </c>
      <c r="C421" s="590">
        <v>0</v>
      </c>
      <c r="D421" s="585">
        <v>0</v>
      </c>
      <c r="E421" s="584" t="s">
        <v>1549</v>
      </c>
      <c r="F421" s="586" t="s">
        <v>100</v>
      </c>
    </row>
    <row r="422" spans="1:6" ht="15">
      <c r="A422" s="579" t="s">
        <v>1025</v>
      </c>
      <c r="B422" s="580" t="s">
        <v>1026</v>
      </c>
      <c r="C422" s="589">
        <v>0</v>
      </c>
      <c r="D422" s="581">
        <v>-45700928.579999998</v>
      </c>
      <c r="E422" s="580" t="s">
        <v>1550</v>
      </c>
      <c r="F422" s="582" t="s">
        <v>1027</v>
      </c>
    </row>
    <row r="423" spans="1:6" ht="15">
      <c r="A423" s="583" t="s">
        <v>1028</v>
      </c>
      <c r="B423" s="584" t="s">
        <v>1029</v>
      </c>
      <c r="C423" s="590">
        <v>0</v>
      </c>
      <c r="D423" s="585">
        <v>0</v>
      </c>
      <c r="E423" s="584" t="s">
        <v>1548</v>
      </c>
      <c r="F423" s="586" t="s">
        <v>100</v>
      </c>
    </row>
    <row r="424" spans="1:6" ht="15">
      <c r="A424" s="579" t="s">
        <v>1030</v>
      </c>
      <c r="B424" s="580" t="s">
        <v>1031</v>
      </c>
      <c r="C424" s="589">
        <v>0</v>
      </c>
      <c r="D424" s="581">
        <v>-14363009.75</v>
      </c>
      <c r="E424" s="580" t="s">
        <v>1549</v>
      </c>
      <c r="F424" s="582" t="s">
        <v>100</v>
      </c>
    </row>
    <row r="425" spans="1:6" ht="15">
      <c r="A425" s="583" t="s">
        <v>1032</v>
      </c>
      <c r="B425" s="584" t="s">
        <v>1033</v>
      </c>
      <c r="C425" s="590">
        <v>-19700</v>
      </c>
      <c r="D425" s="585">
        <v>-63260</v>
      </c>
      <c r="E425" s="584" t="s">
        <v>1549</v>
      </c>
      <c r="F425" s="586" t="s">
        <v>100</v>
      </c>
    </row>
    <row r="426" spans="1:6" ht="15">
      <c r="A426" s="579" t="s">
        <v>1034</v>
      </c>
      <c r="B426" s="580" t="s">
        <v>1035</v>
      </c>
      <c r="C426" s="589">
        <v>-26712</v>
      </c>
      <c r="D426" s="581">
        <v>399798</v>
      </c>
      <c r="E426" s="580" t="s">
        <v>1549</v>
      </c>
      <c r="F426" s="582" t="s">
        <v>100</v>
      </c>
    </row>
    <row r="427" spans="1:6" ht="15">
      <c r="A427" s="583" t="s">
        <v>1036</v>
      </c>
      <c r="B427" s="584" t="s">
        <v>1037</v>
      </c>
      <c r="C427" s="590">
        <v>-18000</v>
      </c>
      <c r="D427" s="585">
        <v>6728279</v>
      </c>
      <c r="E427" s="584" t="s">
        <v>1549</v>
      </c>
      <c r="F427" s="586" t="s">
        <v>100</v>
      </c>
    </row>
    <row r="428" spans="1:6" ht="15">
      <c r="A428" s="579" t="s">
        <v>1038</v>
      </c>
      <c r="B428" s="580" t="s">
        <v>440</v>
      </c>
      <c r="C428" s="589">
        <v>0</v>
      </c>
      <c r="D428" s="581">
        <v>0</v>
      </c>
      <c r="E428" s="580" t="s">
        <v>1549</v>
      </c>
      <c r="F428" s="582" t="s">
        <v>100</v>
      </c>
    </row>
    <row r="429" spans="1:6" ht="15">
      <c r="A429" s="583" t="s">
        <v>1614</v>
      </c>
      <c r="B429" s="584" t="s">
        <v>1615</v>
      </c>
      <c r="C429" s="590">
        <v>27220.52</v>
      </c>
      <c r="D429" s="585">
        <v>122684.2</v>
      </c>
      <c r="E429" s="584" t="s">
        <v>1549</v>
      </c>
      <c r="F429" s="586" t="s">
        <v>100</v>
      </c>
    </row>
    <row r="430" spans="1:6" ht="15">
      <c r="A430" s="579" t="s">
        <v>1039</v>
      </c>
      <c r="B430" s="580" t="s">
        <v>1040</v>
      </c>
      <c r="C430" s="589">
        <v>-37191.480000000003</v>
      </c>
      <c r="D430" s="581">
        <v>-7175508.5499999998</v>
      </c>
      <c r="E430" s="580" t="s">
        <v>1550</v>
      </c>
      <c r="F430" s="582" t="s">
        <v>1041</v>
      </c>
    </row>
    <row r="431" spans="1:6" ht="15">
      <c r="A431" s="583" t="s">
        <v>1042</v>
      </c>
      <c r="B431" s="584" t="s">
        <v>1043</v>
      </c>
      <c r="C431" s="590">
        <v>0</v>
      </c>
      <c r="D431" s="585">
        <v>0</v>
      </c>
      <c r="E431" s="584" t="s">
        <v>1548</v>
      </c>
      <c r="F431" s="586" t="s">
        <v>100</v>
      </c>
    </row>
    <row r="432" spans="1:6" ht="15">
      <c r="A432" s="579" t="s">
        <v>1044</v>
      </c>
      <c r="B432" s="580" t="s">
        <v>1045</v>
      </c>
      <c r="C432" s="589">
        <v>0</v>
      </c>
      <c r="D432" s="581">
        <v>0</v>
      </c>
      <c r="E432" s="580" t="s">
        <v>1549</v>
      </c>
      <c r="F432" s="582" t="s">
        <v>100</v>
      </c>
    </row>
    <row r="433" spans="1:6" ht="15">
      <c r="A433" s="583" t="s">
        <v>1046</v>
      </c>
      <c r="B433" s="584" t="s">
        <v>1047</v>
      </c>
      <c r="C433" s="590">
        <v>0</v>
      </c>
      <c r="D433" s="585">
        <v>0</v>
      </c>
      <c r="E433" s="584" t="s">
        <v>1549</v>
      </c>
      <c r="F433" s="586" t="s">
        <v>100</v>
      </c>
    </row>
    <row r="434" spans="1:6" ht="15">
      <c r="A434" s="579" t="s">
        <v>1048</v>
      </c>
      <c r="B434" s="580" t="s">
        <v>1049</v>
      </c>
      <c r="C434" s="589">
        <v>0</v>
      </c>
      <c r="D434" s="581">
        <v>0</v>
      </c>
      <c r="E434" s="580" t="s">
        <v>1549</v>
      </c>
      <c r="F434" s="582" t="s">
        <v>100</v>
      </c>
    </row>
    <row r="435" spans="1:6" ht="15">
      <c r="A435" s="583" t="s">
        <v>1050</v>
      </c>
      <c r="B435" s="584" t="s">
        <v>1616</v>
      </c>
      <c r="C435" s="590">
        <v>0</v>
      </c>
      <c r="D435" s="585">
        <v>-86919.47</v>
      </c>
      <c r="E435" s="584" t="s">
        <v>1549</v>
      </c>
      <c r="F435" s="586" t="s">
        <v>100</v>
      </c>
    </row>
    <row r="436" spans="1:6" ht="15">
      <c r="A436" s="579" t="s">
        <v>1052</v>
      </c>
      <c r="B436" s="580" t="s">
        <v>1617</v>
      </c>
      <c r="C436" s="589">
        <v>0</v>
      </c>
      <c r="D436" s="581">
        <v>-3000</v>
      </c>
      <c r="E436" s="580" t="s">
        <v>1549</v>
      </c>
      <c r="F436" s="582" t="s">
        <v>100</v>
      </c>
    </row>
    <row r="437" spans="1:6" ht="15">
      <c r="A437" s="583" t="s">
        <v>1054</v>
      </c>
      <c r="B437" s="584" t="s">
        <v>103</v>
      </c>
      <c r="C437" s="590">
        <v>0</v>
      </c>
      <c r="D437" s="585">
        <v>-3921262.04</v>
      </c>
      <c r="E437" s="584" t="s">
        <v>1549</v>
      </c>
      <c r="F437" s="586" t="s">
        <v>100</v>
      </c>
    </row>
    <row r="438" spans="1:6" ht="15">
      <c r="A438" s="579" t="s">
        <v>1056</v>
      </c>
      <c r="B438" s="580" t="s">
        <v>1057</v>
      </c>
      <c r="C438" s="589">
        <v>0</v>
      </c>
      <c r="D438" s="581">
        <v>0</v>
      </c>
      <c r="E438" s="580" t="s">
        <v>1548</v>
      </c>
      <c r="F438" s="582" t="s">
        <v>100</v>
      </c>
    </row>
    <row r="439" spans="1:6" ht="15">
      <c r="A439" s="583" t="s">
        <v>1058</v>
      </c>
      <c r="B439" s="584" t="s">
        <v>1031</v>
      </c>
      <c r="C439" s="590">
        <v>0</v>
      </c>
      <c r="D439" s="585">
        <v>-542200.19999999995</v>
      </c>
      <c r="E439" s="584" t="s">
        <v>1549</v>
      </c>
      <c r="F439" s="586" t="s">
        <v>100</v>
      </c>
    </row>
    <row r="440" spans="1:6" ht="15">
      <c r="A440" s="579" t="s">
        <v>1059</v>
      </c>
      <c r="B440" s="580" t="s">
        <v>1060</v>
      </c>
      <c r="C440" s="589">
        <v>0</v>
      </c>
      <c r="D440" s="581">
        <v>0</v>
      </c>
      <c r="E440" s="580" t="s">
        <v>1549</v>
      </c>
      <c r="F440" s="582" t="s">
        <v>100</v>
      </c>
    </row>
    <row r="441" spans="1:6" ht="15">
      <c r="A441" s="583" t="s">
        <v>1061</v>
      </c>
      <c r="B441" s="584" t="s">
        <v>1062</v>
      </c>
      <c r="C441" s="590">
        <v>0</v>
      </c>
      <c r="D441" s="585">
        <v>11703.72</v>
      </c>
      <c r="E441" s="584" t="s">
        <v>1549</v>
      </c>
      <c r="F441" s="586" t="s">
        <v>100</v>
      </c>
    </row>
    <row r="442" spans="1:6" ht="15">
      <c r="A442" s="579" t="s">
        <v>1063</v>
      </c>
      <c r="B442" s="580" t="s">
        <v>1064</v>
      </c>
      <c r="C442" s="589">
        <v>0</v>
      </c>
      <c r="D442" s="581">
        <v>-530496.48</v>
      </c>
      <c r="E442" s="580" t="s">
        <v>1550</v>
      </c>
      <c r="F442" s="582" t="s">
        <v>1065</v>
      </c>
    </row>
    <row r="443" spans="1:6" ht="15">
      <c r="A443" s="583" t="s">
        <v>1066</v>
      </c>
      <c r="B443" s="584" t="s">
        <v>1067</v>
      </c>
      <c r="C443" s="590">
        <v>0</v>
      </c>
      <c r="D443" s="585">
        <v>-4541677.99</v>
      </c>
      <c r="E443" s="584" t="s">
        <v>1550</v>
      </c>
      <c r="F443" s="586" t="s">
        <v>1068</v>
      </c>
    </row>
    <row r="444" spans="1:6" ht="15">
      <c r="A444" s="579" t="s">
        <v>1069</v>
      </c>
      <c r="B444" s="580" t="s">
        <v>1070</v>
      </c>
      <c r="C444" s="589">
        <v>-37191.480000000003</v>
      </c>
      <c r="D444" s="581">
        <v>-57418115.119999997</v>
      </c>
      <c r="E444" s="580" t="s">
        <v>1550</v>
      </c>
      <c r="F444" s="582" t="s">
        <v>1071</v>
      </c>
    </row>
    <row r="445" spans="1:6" ht="15">
      <c r="A445" s="583" t="s">
        <v>1072</v>
      </c>
      <c r="B445" s="584" t="s">
        <v>1073</v>
      </c>
      <c r="C445" s="590">
        <v>0</v>
      </c>
      <c r="D445" s="585">
        <v>0</v>
      </c>
      <c r="E445" s="584" t="s">
        <v>1548</v>
      </c>
      <c r="F445" s="586" t="s">
        <v>100</v>
      </c>
    </row>
    <row r="446" spans="1:6" ht="15">
      <c r="A446" s="579" t="s">
        <v>1074</v>
      </c>
      <c r="B446" s="580" t="s">
        <v>1075</v>
      </c>
      <c r="C446" s="589">
        <v>0</v>
      </c>
      <c r="D446" s="581">
        <v>0</v>
      </c>
      <c r="E446" s="580" t="s">
        <v>1549</v>
      </c>
      <c r="F446" s="582" t="s">
        <v>100</v>
      </c>
    </row>
    <row r="447" spans="1:6" ht="15">
      <c r="A447" s="583" t="s">
        <v>1076</v>
      </c>
      <c r="B447" s="584" t="s">
        <v>1077</v>
      </c>
      <c r="C447" s="590">
        <v>0</v>
      </c>
      <c r="D447" s="585">
        <v>0</v>
      </c>
      <c r="E447" s="584" t="s">
        <v>1549</v>
      </c>
      <c r="F447" s="586" t="s">
        <v>100</v>
      </c>
    </row>
    <row r="448" spans="1:6" ht="15">
      <c r="A448" s="579" t="s">
        <v>1078</v>
      </c>
      <c r="B448" s="580" t="s">
        <v>1079</v>
      </c>
      <c r="C448" s="589">
        <v>146111.54999999999</v>
      </c>
      <c r="D448" s="581">
        <v>-6420086.0499999998</v>
      </c>
      <c r="E448" s="580" t="s">
        <v>1549</v>
      </c>
      <c r="F448" s="582" t="s">
        <v>100</v>
      </c>
    </row>
    <row r="449" spans="1:6" ht="15">
      <c r="A449" s="583" t="s">
        <v>1080</v>
      </c>
      <c r="B449" s="584" t="s">
        <v>1081</v>
      </c>
      <c r="C449" s="590">
        <v>146111.54999999999</v>
      </c>
      <c r="D449" s="585">
        <v>-6420086.0499999998</v>
      </c>
      <c r="E449" s="584" t="s">
        <v>1550</v>
      </c>
      <c r="F449" s="586" t="s">
        <v>1082</v>
      </c>
    </row>
    <row r="450" spans="1:6" ht="15">
      <c r="A450" s="579" t="s">
        <v>1083</v>
      </c>
      <c r="B450" s="580" t="s">
        <v>1084</v>
      </c>
      <c r="C450" s="589">
        <v>0</v>
      </c>
      <c r="D450" s="581">
        <v>0</v>
      </c>
      <c r="E450" s="580" t="s">
        <v>1548</v>
      </c>
      <c r="F450" s="582" t="s">
        <v>100</v>
      </c>
    </row>
    <row r="451" spans="1:6" ht="15">
      <c r="A451" s="583" t="s">
        <v>1085</v>
      </c>
      <c r="B451" s="584" t="s">
        <v>1086</v>
      </c>
      <c r="C451" s="590">
        <v>0</v>
      </c>
      <c r="D451" s="585">
        <v>0</v>
      </c>
      <c r="E451" s="584" t="s">
        <v>1548</v>
      </c>
      <c r="F451" s="586" t="s">
        <v>100</v>
      </c>
    </row>
    <row r="452" spans="1:6" ht="15">
      <c r="A452" s="579" t="s">
        <v>1087</v>
      </c>
      <c r="B452" s="580" t="s">
        <v>1088</v>
      </c>
      <c r="C452" s="589">
        <v>0</v>
      </c>
      <c r="D452" s="581">
        <v>-585441.96</v>
      </c>
      <c r="E452" s="580" t="s">
        <v>1549</v>
      </c>
      <c r="F452" s="582" t="s">
        <v>100</v>
      </c>
    </row>
    <row r="453" spans="1:6" ht="15">
      <c r="A453" s="583" t="s">
        <v>1089</v>
      </c>
      <c r="B453" s="584" t="s">
        <v>1090</v>
      </c>
      <c r="C453" s="590">
        <v>0</v>
      </c>
      <c r="D453" s="585">
        <v>-585441.96</v>
      </c>
      <c r="E453" s="584" t="s">
        <v>1550</v>
      </c>
      <c r="F453" s="586" t="s">
        <v>1091</v>
      </c>
    </row>
    <row r="454" spans="1:6" ht="15">
      <c r="A454" s="579" t="s">
        <v>1092</v>
      </c>
      <c r="B454" s="580" t="s">
        <v>1093</v>
      </c>
      <c r="C454" s="589">
        <v>0</v>
      </c>
      <c r="D454" s="581">
        <v>0</v>
      </c>
      <c r="E454" s="580" t="s">
        <v>1548</v>
      </c>
      <c r="F454" s="582" t="s">
        <v>100</v>
      </c>
    </row>
    <row r="455" spans="1:6" ht="15">
      <c r="A455" s="583" t="s">
        <v>1094</v>
      </c>
      <c r="B455" s="584" t="s">
        <v>1095</v>
      </c>
      <c r="C455" s="590">
        <v>0</v>
      </c>
      <c r="D455" s="585">
        <v>0</v>
      </c>
      <c r="E455" s="584" t="s">
        <v>1548</v>
      </c>
      <c r="F455" s="586" t="s">
        <v>100</v>
      </c>
    </row>
    <row r="456" spans="1:6" ht="15">
      <c r="A456" s="579" t="s">
        <v>1096</v>
      </c>
      <c r="B456" s="580" t="s">
        <v>1097</v>
      </c>
      <c r="C456" s="589">
        <v>0</v>
      </c>
      <c r="D456" s="581">
        <v>0</v>
      </c>
      <c r="E456" s="580" t="s">
        <v>1549</v>
      </c>
      <c r="F456" s="582" t="s">
        <v>100</v>
      </c>
    </row>
    <row r="457" spans="1:6" ht="15">
      <c r="A457" s="583" t="s">
        <v>1098</v>
      </c>
      <c r="B457" s="584" t="s">
        <v>1099</v>
      </c>
      <c r="C457" s="590">
        <v>0</v>
      </c>
      <c r="D457" s="585">
        <v>0</v>
      </c>
      <c r="E457" s="584" t="s">
        <v>1549</v>
      </c>
      <c r="F457" s="586" t="s">
        <v>100</v>
      </c>
    </row>
    <row r="458" spans="1:6" ht="15">
      <c r="A458" s="579" t="s">
        <v>1100</v>
      </c>
      <c r="B458" s="580" t="s">
        <v>1101</v>
      </c>
      <c r="C458" s="589">
        <v>0</v>
      </c>
      <c r="D458" s="581">
        <v>0</v>
      </c>
      <c r="E458" s="580" t="s">
        <v>1550</v>
      </c>
      <c r="F458" s="582" t="s">
        <v>1102</v>
      </c>
    </row>
    <row r="459" spans="1:6" ht="15">
      <c r="A459" s="583" t="s">
        <v>1103</v>
      </c>
      <c r="B459" s="584" t="s">
        <v>1104</v>
      </c>
      <c r="C459" s="590">
        <v>0</v>
      </c>
      <c r="D459" s="585">
        <v>0</v>
      </c>
      <c r="E459" s="584" t="s">
        <v>1548</v>
      </c>
      <c r="F459" s="586" t="s">
        <v>100</v>
      </c>
    </row>
    <row r="460" spans="1:6" ht="15">
      <c r="A460" s="579" t="s">
        <v>1105</v>
      </c>
      <c r="B460" s="580" t="s">
        <v>155</v>
      </c>
      <c r="C460" s="589">
        <v>0</v>
      </c>
      <c r="D460" s="581">
        <v>0</v>
      </c>
      <c r="E460" s="580" t="s">
        <v>1548</v>
      </c>
      <c r="F460" s="582" t="s">
        <v>100</v>
      </c>
    </row>
    <row r="461" spans="1:6" ht="15">
      <c r="A461" s="583" t="s">
        <v>1106</v>
      </c>
      <c r="B461" s="584" t="s">
        <v>1107</v>
      </c>
      <c r="C461" s="590">
        <v>-965.65</v>
      </c>
      <c r="D461" s="585">
        <v>-657962.88</v>
      </c>
      <c r="E461" s="584" t="s">
        <v>1549</v>
      </c>
      <c r="F461" s="586" t="s">
        <v>100</v>
      </c>
    </row>
    <row r="462" spans="1:6" ht="15">
      <c r="A462" s="579" t="s">
        <v>1108</v>
      </c>
      <c r="B462" s="580" t="s">
        <v>440</v>
      </c>
      <c r="C462" s="589">
        <v>0</v>
      </c>
      <c r="D462" s="581">
        <v>0</v>
      </c>
      <c r="E462" s="580" t="s">
        <v>1549</v>
      </c>
      <c r="F462" s="582" t="s">
        <v>100</v>
      </c>
    </row>
    <row r="463" spans="1:6" ht="15">
      <c r="A463" s="583" t="s">
        <v>1109</v>
      </c>
      <c r="B463" s="584" t="s">
        <v>1110</v>
      </c>
      <c r="C463" s="590">
        <v>0</v>
      </c>
      <c r="D463" s="585">
        <v>0</v>
      </c>
      <c r="E463" s="584" t="s">
        <v>1549</v>
      </c>
      <c r="F463" s="586" t="s">
        <v>100</v>
      </c>
    </row>
    <row r="464" spans="1:6" ht="15">
      <c r="A464" s="579" t="s">
        <v>1111</v>
      </c>
      <c r="B464" s="580" t="s">
        <v>481</v>
      </c>
      <c r="C464" s="589">
        <v>247866.2</v>
      </c>
      <c r="D464" s="581">
        <v>385481.2</v>
      </c>
      <c r="E464" s="580" t="s">
        <v>1549</v>
      </c>
      <c r="F464" s="582" t="s">
        <v>100</v>
      </c>
    </row>
    <row r="465" spans="1:6" ht="15">
      <c r="A465" s="583" t="s">
        <v>1112</v>
      </c>
      <c r="B465" s="584" t="s">
        <v>278</v>
      </c>
      <c r="C465" s="590">
        <v>246900.55</v>
      </c>
      <c r="D465" s="585">
        <v>-272481.68</v>
      </c>
      <c r="E465" s="584" t="s">
        <v>1550</v>
      </c>
      <c r="F465" s="586" t="s">
        <v>1113</v>
      </c>
    </row>
    <row r="466" spans="1:6" ht="15">
      <c r="A466" s="579" t="s">
        <v>1114</v>
      </c>
      <c r="B466" s="580" t="s">
        <v>1115</v>
      </c>
      <c r="C466" s="589">
        <v>0</v>
      </c>
      <c r="D466" s="581">
        <v>0</v>
      </c>
      <c r="E466" s="580" t="s">
        <v>1548</v>
      </c>
      <c r="F466" s="582" t="s">
        <v>100</v>
      </c>
    </row>
    <row r="467" spans="1:6" ht="15">
      <c r="A467" s="583" t="s">
        <v>1116</v>
      </c>
      <c r="B467" s="584" t="s">
        <v>220</v>
      </c>
      <c r="C467" s="590">
        <v>0</v>
      </c>
      <c r="D467" s="585">
        <v>0</v>
      </c>
      <c r="E467" s="584" t="s">
        <v>1549</v>
      </c>
      <c r="F467" s="586" t="s">
        <v>100</v>
      </c>
    </row>
    <row r="468" spans="1:6" ht="15">
      <c r="A468" s="579" t="s">
        <v>1117</v>
      </c>
      <c r="B468" s="580" t="s">
        <v>1118</v>
      </c>
      <c r="C468" s="589">
        <v>0</v>
      </c>
      <c r="D468" s="581">
        <v>0</v>
      </c>
      <c r="E468" s="580" t="s">
        <v>1549</v>
      </c>
      <c r="F468" s="582" t="s">
        <v>100</v>
      </c>
    </row>
    <row r="469" spans="1:6" ht="15">
      <c r="A469" s="583" t="s">
        <v>1119</v>
      </c>
      <c r="B469" s="584" t="s">
        <v>1120</v>
      </c>
      <c r="C469" s="590">
        <v>0</v>
      </c>
      <c r="D469" s="585">
        <v>0</v>
      </c>
      <c r="E469" s="584" t="s">
        <v>1549</v>
      </c>
      <c r="F469" s="586" t="s">
        <v>100</v>
      </c>
    </row>
    <row r="470" spans="1:6" ht="15">
      <c r="A470" s="579" t="s">
        <v>1121</v>
      </c>
      <c r="B470" s="580" t="s">
        <v>1122</v>
      </c>
      <c r="C470" s="589">
        <v>0</v>
      </c>
      <c r="D470" s="581">
        <v>0</v>
      </c>
      <c r="E470" s="580" t="s">
        <v>1549</v>
      </c>
      <c r="F470" s="582" t="s">
        <v>100</v>
      </c>
    </row>
    <row r="471" spans="1:6" ht="15">
      <c r="A471" s="583" t="s">
        <v>1123</v>
      </c>
      <c r="B471" s="584" t="s">
        <v>1124</v>
      </c>
      <c r="C471" s="590">
        <v>0</v>
      </c>
      <c r="D471" s="585">
        <v>0</v>
      </c>
      <c r="E471" s="584" t="s">
        <v>1549</v>
      </c>
      <c r="F471" s="586" t="s">
        <v>100</v>
      </c>
    </row>
    <row r="472" spans="1:6" ht="15">
      <c r="A472" s="579" t="s">
        <v>1125</v>
      </c>
      <c r="B472" s="580" t="s">
        <v>1126</v>
      </c>
      <c r="C472" s="589">
        <v>0</v>
      </c>
      <c r="D472" s="581">
        <v>0</v>
      </c>
      <c r="E472" s="580" t="s">
        <v>1549</v>
      </c>
      <c r="F472" s="582" t="s">
        <v>100</v>
      </c>
    </row>
    <row r="473" spans="1:6" ht="15">
      <c r="A473" s="583" t="s">
        <v>1127</v>
      </c>
      <c r="B473" s="584" t="s">
        <v>1128</v>
      </c>
      <c r="C473" s="590">
        <v>0</v>
      </c>
      <c r="D473" s="585">
        <v>0</v>
      </c>
      <c r="E473" s="584" t="s">
        <v>1549</v>
      </c>
      <c r="F473" s="586" t="s">
        <v>100</v>
      </c>
    </row>
    <row r="474" spans="1:6" ht="15">
      <c r="A474" s="579" t="s">
        <v>1129</v>
      </c>
      <c r="B474" s="580" t="s">
        <v>1130</v>
      </c>
      <c r="C474" s="589">
        <v>0</v>
      </c>
      <c r="D474" s="581">
        <v>0</v>
      </c>
      <c r="E474" s="580" t="s">
        <v>1549</v>
      </c>
      <c r="F474" s="582" t="s">
        <v>100</v>
      </c>
    </row>
    <row r="475" spans="1:6" ht="15">
      <c r="A475" s="583" t="s">
        <v>1131</v>
      </c>
      <c r="B475" s="584" t="s">
        <v>1132</v>
      </c>
      <c r="C475" s="590">
        <v>0</v>
      </c>
      <c r="D475" s="585">
        <v>0</v>
      </c>
      <c r="E475" s="584" t="s">
        <v>1549</v>
      </c>
      <c r="F475" s="586" t="s">
        <v>100</v>
      </c>
    </row>
    <row r="476" spans="1:6" ht="15">
      <c r="A476" s="579" t="s">
        <v>1133</v>
      </c>
      <c r="B476" s="580" t="s">
        <v>1134</v>
      </c>
      <c r="C476" s="589">
        <v>0</v>
      </c>
      <c r="D476" s="581">
        <v>0</v>
      </c>
      <c r="E476" s="580" t="s">
        <v>1549</v>
      </c>
      <c r="F476" s="582" t="s">
        <v>100</v>
      </c>
    </row>
    <row r="477" spans="1:6" ht="15">
      <c r="A477" s="583" t="s">
        <v>1135</v>
      </c>
      <c r="B477" s="584" t="s">
        <v>1136</v>
      </c>
      <c r="C477" s="590">
        <v>0</v>
      </c>
      <c r="D477" s="585">
        <v>0</v>
      </c>
      <c r="E477" s="584" t="s">
        <v>1549</v>
      </c>
      <c r="F477" s="586" t="s">
        <v>100</v>
      </c>
    </row>
    <row r="478" spans="1:6" ht="15">
      <c r="A478" s="579" t="s">
        <v>1137</v>
      </c>
      <c r="B478" s="580" t="s">
        <v>1138</v>
      </c>
      <c r="C478" s="589">
        <v>0</v>
      </c>
      <c r="D478" s="581">
        <v>0</v>
      </c>
      <c r="E478" s="580" t="s">
        <v>1549</v>
      </c>
      <c r="F478" s="582" t="s">
        <v>100</v>
      </c>
    </row>
    <row r="479" spans="1:6" ht="15">
      <c r="A479" s="583" t="s">
        <v>1139</v>
      </c>
      <c r="B479" s="584" t="s">
        <v>1140</v>
      </c>
      <c r="C479" s="590">
        <v>0</v>
      </c>
      <c r="D479" s="585">
        <v>0</v>
      </c>
      <c r="E479" s="584" t="s">
        <v>1549</v>
      </c>
      <c r="F479" s="586" t="s">
        <v>100</v>
      </c>
    </row>
    <row r="480" spans="1:6" ht="15">
      <c r="A480" s="579" t="s">
        <v>1141</v>
      </c>
      <c r="B480" s="580" t="s">
        <v>1142</v>
      </c>
      <c r="C480" s="589">
        <v>0</v>
      </c>
      <c r="D480" s="581">
        <v>0</v>
      </c>
      <c r="E480" s="580" t="s">
        <v>1549</v>
      </c>
      <c r="F480" s="582" t="s">
        <v>100</v>
      </c>
    </row>
    <row r="481" spans="1:6" ht="15">
      <c r="A481" s="583" t="s">
        <v>1143</v>
      </c>
      <c r="B481" s="584" t="s">
        <v>1144</v>
      </c>
      <c r="C481" s="590">
        <v>0</v>
      </c>
      <c r="D481" s="585">
        <v>0</v>
      </c>
      <c r="E481" s="584" t="s">
        <v>1549</v>
      </c>
      <c r="F481" s="586" t="s">
        <v>100</v>
      </c>
    </row>
    <row r="482" spans="1:6" ht="15">
      <c r="A482" s="579" t="s">
        <v>1145</v>
      </c>
      <c r="B482" s="580" t="s">
        <v>1146</v>
      </c>
      <c r="C482" s="589">
        <v>0</v>
      </c>
      <c r="D482" s="581">
        <v>0</v>
      </c>
      <c r="E482" s="580" t="s">
        <v>1549</v>
      </c>
      <c r="F482" s="582" t="s">
        <v>100</v>
      </c>
    </row>
    <row r="483" spans="1:6" ht="15">
      <c r="A483" s="583" t="s">
        <v>1147</v>
      </c>
      <c r="B483" s="584" t="s">
        <v>1148</v>
      </c>
      <c r="C483" s="590">
        <v>0</v>
      </c>
      <c r="D483" s="585">
        <v>0</v>
      </c>
      <c r="E483" s="584" t="s">
        <v>1549</v>
      </c>
      <c r="F483" s="586" t="s">
        <v>100</v>
      </c>
    </row>
    <row r="484" spans="1:6" ht="15">
      <c r="A484" s="579" t="s">
        <v>1149</v>
      </c>
      <c r="B484" s="580" t="s">
        <v>1150</v>
      </c>
      <c r="C484" s="589">
        <v>0</v>
      </c>
      <c r="D484" s="581">
        <v>0</v>
      </c>
      <c r="E484" s="580" t="s">
        <v>1549</v>
      </c>
      <c r="F484" s="582" t="s">
        <v>100</v>
      </c>
    </row>
    <row r="485" spans="1:6" ht="15">
      <c r="A485" s="583" t="s">
        <v>1151</v>
      </c>
      <c r="B485" s="584" t="s">
        <v>1152</v>
      </c>
      <c r="C485" s="590">
        <v>0</v>
      </c>
      <c r="D485" s="585">
        <v>0</v>
      </c>
      <c r="E485" s="584" t="s">
        <v>1550</v>
      </c>
      <c r="F485" s="586" t="s">
        <v>1153</v>
      </c>
    </row>
    <row r="486" spans="1:6" ht="15">
      <c r="A486" s="579" t="s">
        <v>1154</v>
      </c>
      <c r="B486" s="580" t="s">
        <v>1155</v>
      </c>
      <c r="C486" s="589">
        <v>246900.55</v>
      </c>
      <c r="D486" s="581">
        <v>-272481.68</v>
      </c>
      <c r="E486" s="580" t="s">
        <v>1550</v>
      </c>
      <c r="F486" s="582" t="s">
        <v>1156</v>
      </c>
    </row>
    <row r="487" spans="1:6" ht="15">
      <c r="A487" s="583" t="s">
        <v>1157</v>
      </c>
      <c r="B487" s="584" t="s">
        <v>1158</v>
      </c>
      <c r="C487" s="590">
        <v>246900.55</v>
      </c>
      <c r="D487" s="585">
        <v>-272481.68</v>
      </c>
      <c r="E487" s="584" t="s">
        <v>1550</v>
      </c>
      <c r="F487" s="586" t="s">
        <v>1159</v>
      </c>
    </row>
    <row r="488" spans="1:6" ht="15">
      <c r="A488" s="579" t="s">
        <v>1160</v>
      </c>
      <c r="B488" s="580" t="s">
        <v>1161</v>
      </c>
      <c r="C488" s="589">
        <v>0</v>
      </c>
      <c r="D488" s="581">
        <v>0</v>
      </c>
      <c r="E488" s="580" t="s">
        <v>1548</v>
      </c>
      <c r="F488" s="582" t="s">
        <v>100</v>
      </c>
    </row>
    <row r="489" spans="1:6" ht="15">
      <c r="A489" s="583" t="s">
        <v>1162</v>
      </c>
      <c r="B489" s="584" t="s">
        <v>1163</v>
      </c>
      <c r="C489" s="590">
        <v>2140</v>
      </c>
      <c r="D489" s="585">
        <v>-540</v>
      </c>
      <c r="E489" s="584" t="s">
        <v>1549</v>
      </c>
      <c r="F489" s="586" t="s">
        <v>100</v>
      </c>
    </row>
    <row r="490" spans="1:6" ht="15">
      <c r="A490" s="579" t="s">
        <v>1164</v>
      </c>
      <c r="B490" s="580" t="s">
        <v>1165</v>
      </c>
      <c r="C490" s="589">
        <v>-57240</v>
      </c>
      <c r="D490" s="581">
        <v>-57630</v>
      </c>
      <c r="E490" s="580" t="s">
        <v>1549</v>
      </c>
      <c r="F490" s="582" t="s">
        <v>100</v>
      </c>
    </row>
    <row r="491" spans="1:6" ht="15">
      <c r="A491" s="583" t="s">
        <v>1166</v>
      </c>
      <c r="B491" s="584" t="s">
        <v>1167</v>
      </c>
      <c r="C491" s="590">
        <v>0</v>
      </c>
      <c r="D491" s="585">
        <v>0</v>
      </c>
      <c r="E491" s="584" t="s">
        <v>1549</v>
      </c>
      <c r="F491" s="586" t="s">
        <v>100</v>
      </c>
    </row>
    <row r="492" spans="1:6" ht="15">
      <c r="A492" s="579" t="s">
        <v>1168</v>
      </c>
      <c r="B492" s="580" t="s">
        <v>1169</v>
      </c>
      <c r="C492" s="589">
        <v>0</v>
      </c>
      <c r="D492" s="581">
        <v>-1965</v>
      </c>
      <c r="E492" s="580" t="s">
        <v>1549</v>
      </c>
      <c r="F492" s="582" t="s">
        <v>100</v>
      </c>
    </row>
    <row r="493" spans="1:6" ht="15">
      <c r="A493" s="583" t="s">
        <v>1170</v>
      </c>
      <c r="B493" s="584" t="s">
        <v>1171</v>
      </c>
      <c r="C493" s="590">
        <v>0</v>
      </c>
      <c r="D493" s="585">
        <v>0</v>
      </c>
      <c r="E493" s="584" t="s">
        <v>1549</v>
      </c>
      <c r="F493" s="586" t="s">
        <v>100</v>
      </c>
    </row>
    <row r="494" spans="1:6" ht="15">
      <c r="A494" s="579" t="s">
        <v>1172</v>
      </c>
      <c r="B494" s="580" t="s">
        <v>1173</v>
      </c>
      <c r="C494" s="589">
        <v>0</v>
      </c>
      <c r="D494" s="581">
        <v>0</v>
      </c>
      <c r="E494" s="580" t="s">
        <v>1549</v>
      </c>
      <c r="F494" s="582" t="s">
        <v>100</v>
      </c>
    </row>
    <row r="495" spans="1:6" ht="15">
      <c r="A495" s="583" t="s">
        <v>1174</v>
      </c>
      <c r="B495" s="584" t="s">
        <v>1175</v>
      </c>
      <c r="C495" s="590">
        <v>0</v>
      </c>
      <c r="D495" s="585">
        <v>-1030</v>
      </c>
      <c r="E495" s="584" t="s">
        <v>1549</v>
      </c>
      <c r="F495" s="586" t="s">
        <v>100</v>
      </c>
    </row>
    <row r="496" spans="1:6" ht="15">
      <c r="A496" s="579" t="s">
        <v>1176</v>
      </c>
      <c r="B496" s="580" t="s">
        <v>1177</v>
      </c>
      <c r="C496" s="589">
        <v>0</v>
      </c>
      <c r="D496" s="581">
        <v>0</v>
      </c>
      <c r="E496" s="580" t="s">
        <v>1549</v>
      </c>
      <c r="F496" s="582" t="s">
        <v>100</v>
      </c>
    </row>
    <row r="497" spans="1:6" ht="15">
      <c r="A497" s="583" t="s">
        <v>1178</v>
      </c>
      <c r="B497" s="584" t="s">
        <v>1179</v>
      </c>
      <c r="C497" s="590">
        <v>0</v>
      </c>
      <c r="D497" s="585">
        <v>0</v>
      </c>
      <c r="E497" s="584" t="s">
        <v>1549</v>
      </c>
      <c r="F497" s="586" t="s">
        <v>100</v>
      </c>
    </row>
    <row r="498" spans="1:6" ht="15">
      <c r="A498" s="579" t="s">
        <v>1180</v>
      </c>
      <c r="B498" s="580" t="s">
        <v>1181</v>
      </c>
      <c r="C498" s="589">
        <v>28240</v>
      </c>
      <c r="D498" s="581">
        <v>48950</v>
      </c>
      <c r="E498" s="580" t="s">
        <v>1549</v>
      </c>
      <c r="F498" s="582" t="s">
        <v>100</v>
      </c>
    </row>
    <row r="499" spans="1:6" ht="15">
      <c r="A499" s="583" t="s">
        <v>1182</v>
      </c>
      <c r="B499" s="584" t="s">
        <v>1183</v>
      </c>
      <c r="C499" s="590">
        <v>0</v>
      </c>
      <c r="D499" s="585">
        <v>-98818.89</v>
      </c>
      <c r="E499" s="584" t="s">
        <v>1549</v>
      </c>
      <c r="F499" s="586" t="s">
        <v>100</v>
      </c>
    </row>
    <row r="500" spans="1:6" ht="15">
      <c r="A500" s="579" t="s">
        <v>1184</v>
      </c>
      <c r="B500" s="580" t="s">
        <v>1185</v>
      </c>
      <c r="C500" s="589">
        <v>588</v>
      </c>
      <c r="D500" s="581">
        <v>-27966.84</v>
      </c>
      <c r="E500" s="580" t="s">
        <v>1549</v>
      </c>
      <c r="F500" s="582" t="s">
        <v>100</v>
      </c>
    </row>
    <row r="501" spans="1:6" ht="15">
      <c r="A501" s="583" t="s">
        <v>1186</v>
      </c>
      <c r="B501" s="584" t="s">
        <v>1618</v>
      </c>
      <c r="C501" s="590">
        <v>2885.24</v>
      </c>
      <c r="D501" s="585">
        <v>21421.46</v>
      </c>
      <c r="E501" s="584" t="s">
        <v>1549</v>
      </c>
      <c r="F501" s="586" t="s">
        <v>100</v>
      </c>
    </row>
    <row r="502" spans="1:6" ht="15">
      <c r="A502" s="579" t="s">
        <v>1188</v>
      </c>
      <c r="B502" s="580" t="s">
        <v>1189</v>
      </c>
      <c r="C502" s="589">
        <v>0</v>
      </c>
      <c r="D502" s="581">
        <v>0</v>
      </c>
      <c r="E502" s="580" t="s">
        <v>1549</v>
      </c>
      <c r="F502" s="582" t="s">
        <v>100</v>
      </c>
    </row>
    <row r="503" spans="1:6" ht="15">
      <c r="A503" s="583" t="s">
        <v>1190</v>
      </c>
      <c r="B503" s="584" t="s">
        <v>1619</v>
      </c>
      <c r="C503" s="590">
        <v>195897.77</v>
      </c>
      <c r="D503" s="585">
        <v>0</v>
      </c>
      <c r="E503" s="584" t="s">
        <v>1549</v>
      </c>
      <c r="F503" s="586" t="s">
        <v>100</v>
      </c>
    </row>
    <row r="504" spans="1:6" ht="15">
      <c r="A504" s="579" t="s">
        <v>1192</v>
      </c>
      <c r="B504" s="580" t="s">
        <v>1620</v>
      </c>
      <c r="C504" s="589">
        <v>-164338.04</v>
      </c>
      <c r="D504" s="581">
        <v>19409.189999999999</v>
      </c>
      <c r="E504" s="580" t="s">
        <v>1549</v>
      </c>
      <c r="F504" s="582" t="s">
        <v>100</v>
      </c>
    </row>
    <row r="505" spans="1:6" ht="15">
      <c r="A505" s="583" t="s">
        <v>1194</v>
      </c>
      <c r="B505" s="584" t="s">
        <v>1195</v>
      </c>
      <c r="C505" s="590">
        <v>0</v>
      </c>
      <c r="D505" s="585">
        <v>-1127.18</v>
      </c>
      <c r="E505" s="584" t="s">
        <v>1549</v>
      </c>
      <c r="F505" s="586" t="s">
        <v>100</v>
      </c>
    </row>
    <row r="506" spans="1:6" ht="15">
      <c r="A506" s="579" t="s">
        <v>1196</v>
      </c>
      <c r="B506" s="580" t="s">
        <v>1621</v>
      </c>
      <c r="C506" s="589">
        <v>90000</v>
      </c>
      <c r="D506" s="581">
        <v>90000</v>
      </c>
      <c r="E506" s="580" t="s">
        <v>1549</v>
      </c>
      <c r="F506" s="582" t="s">
        <v>100</v>
      </c>
    </row>
    <row r="507" spans="1:6" ht="15">
      <c r="A507" s="583" t="s">
        <v>1198</v>
      </c>
      <c r="B507" s="584" t="s">
        <v>1199</v>
      </c>
      <c r="C507" s="590">
        <v>0</v>
      </c>
      <c r="D507" s="585">
        <v>-78145.119999999995</v>
      </c>
      <c r="E507" s="584" t="s">
        <v>1549</v>
      </c>
      <c r="F507" s="586" t="s">
        <v>100</v>
      </c>
    </row>
    <row r="508" spans="1:6" ht="15">
      <c r="A508" s="579" t="s">
        <v>1200</v>
      </c>
      <c r="B508" s="580" t="s">
        <v>1201</v>
      </c>
      <c r="C508" s="589">
        <v>98172.97</v>
      </c>
      <c r="D508" s="581">
        <v>-87442.38</v>
      </c>
      <c r="E508" s="580" t="s">
        <v>1550</v>
      </c>
      <c r="F508" s="582" t="s">
        <v>1202</v>
      </c>
    </row>
    <row r="509" spans="1:6" ht="15">
      <c r="A509" s="583" t="s">
        <v>1203</v>
      </c>
      <c r="B509" s="584" t="s">
        <v>1204</v>
      </c>
      <c r="C509" s="590">
        <v>0</v>
      </c>
      <c r="D509" s="585">
        <v>0</v>
      </c>
      <c r="E509" s="584" t="s">
        <v>1548</v>
      </c>
      <c r="F509" s="586" t="s">
        <v>100</v>
      </c>
    </row>
    <row r="510" spans="1:6" ht="15">
      <c r="A510" s="579" t="s">
        <v>1205</v>
      </c>
      <c r="B510" s="580" t="s">
        <v>1206</v>
      </c>
      <c r="C510" s="589">
        <v>-6862.9</v>
      </c>
      <c r="D510" s="581">
        <v>-200979.61</v>
      </c>
      <c r="E510" s="580" t="s">
        <v>1549</v>
      </c>
      <c r="F510" s="582" t="s">
        <v>100</v>
      </c>
    </row>
    <row r="511" spans="1:6" ht="15">
      <c r="A511" s="583" t="s">
        <v>1207</v>
      </c>
      <c r="B511" s="584" t="s">
        <v>1208</v>
      </c>
      <c r="C511" s="590">
        <v>-6862.9</v>
      </c>
      <c r="D511" s="585">
        <v>-200979.61</v>
      </c>
      <c r="E511" s="584" t="s">
        <v>1550</v>
      </c>
      <c r="F511" s="586" t="s">
        <v>1209</v>
      </c>
    </row>
    <row r="512" spans="1:6" ht="15">
      <c r="A512" s="579" t="s">
        <v>1210</v>
      </c>
      <c r="B512" s="580" t="s">
        <v>1211</v>
      </c>
      <c r="C512" s="589">
        <v>0</v>
      </c>
      <c r="D512" s="581">
        <v>0</v>
      </c>
      <c r="E512" s="580" t="s">
        <v>1548</v>
      </c>
      <c r="F512" s="582" t="s">
        <v>100</v>
      </c>
    </row>
    <row r="513" spans="1:6" ht="15">
      <c r="A513" s="583" t="s">
        <v>1212</v>
      </c>
      <c r="B513" s="584" t="s">
        <v>1622</v>
      </c>
      <c r="C513" s="590">
        <v>0</v>
      </c>
      <c r="D513" s="585">
        <v>0</v>
      </c>
      <c r="E513" s="584" t="s">
        <v>1549</v>
      </c>
      <c r="F513" s="586" t="s">
        <v>100</v>
      </c>
    </row>
    <row r="514" spans="1:6" ht="15">
      <c r="A514" s="579" t="s">
        <v>1214</v>
      </c>
      <c r="B514" s="580" t="s">
        <v>1623</v>
      </c>
      <c r="C514" s="589">
        <v>0</v>
      </c>
      <c r="D514" s="581">
        <v>0</v>
      </c>
      <c r="E514" s="580" t="s">
        <v>1549</v>
      </c>
      <c r="F514" s="582" t="s">
        <v>100</v>
      </c>
    </row>
    <row r="515" spans="1:6" ht="15">
      <c r="A515" s="583" t="s">
        <v>1216</v>
      </c>
      <c r="B515" s="584" t="s">
        <v>1217</v>
      </c>
      <c r="C515" s="590">
        <v>27458.82</v>
      </c>
      <c r="D515" s="585">
        <v>25606.59</v>
      </c>
      <c r="E515" s="584" t="s">
        <v>1549</v>
      </c>
      <c r="F515" s="586" t="s">
        <v>100</v>
      </c>
    </row>
    <row r="516" spans="1:6" ht="15">
      <c r="A516" s="579" t="s">
        <v>1218</v>
      </c>
      <c r="B516" s="580" t="s">
        <v>1219</v>
      </c>
      <c r="C516" s="589">
        <v>662.79</v>
      </c>
      <c r="D516" s="581">
        <v>-23478.12</v>
      </c>
      <c r="E516" s="580" t="s">
        <v>1549</v>
      </c>
      <c r="F516" s="582" t="s">
        <v>100</v>
      </c>
    </row>
    <row r="517" spans="1:6" ht="15">
      <c r="A517" s="583" t="s">
        <v>1220</v>
      </c>
      <c r="B517" s="584" t="s">
        <v>1221</v>
      </c>
      <c r="C517" s="590">
        <v>-448.53</v>
      </c>
      <c r="D517" s="585">
        <v>0</v>
      </c>
      <c r="E517" s="584" t="s">
        <v>1549</v>
      </c>
      <c r="F517" s="586" t="s">
        <v>100</v>
      </c>
    </row>
    <row r="518" spans="1:6" ht="15">
      <c r="A518" s="579" t="s">
        <v>1222</v>
      </c>
      <c r="B518" s="580" t="s">
        <v>1223</v>
      </c>
      <c r="C518" s="589">
        <v>0</v>
      </c>
      <c r="D518" s="581">
        <v>0</v>
      </c>
      <c r="E518" s="580" t="s">
        <v>1549</v>
      </c>
      <c r="F518" s="582" t="s">
        <v>100</v>
      </c>
    </row>
    <row r="519" spans="1:6" ht="15">
      <c r="A519" s="583" t="s">
        <v>1224</v>
      </c>
      <c r="B519" s="584" t="s">
        <v>1624</v>
      </c>
      <c r="C519" s="590">
        <v>0</v>
      </c>
      <c r="D519" s="585">
        <v>0</v>
      </c>
      <c r="E519" s="584" t="s">
        <v>1549</v>
      </c>
      <c r="F519" s="586" t="s">
        <v>100</v>
      </c>
    </row>
    <row r="520" spans="1:6" ht="15">
      <c r="A520" s="579" t="s">
        <v>1226</v>
      </c>
      <c r="B520" s="580" t="s">
        <v>1225</v>
      </c>
      <c r="C520" s="589">
        <v>0</v>
      </c>
      <c r="D520" s="581">
        <v>-1431</v>
      </c>
      <c r="E520" s="580" t="s">
        <v>1549</v>
      </c>
      <c r="F520" s="582" t="s">
        <v>100</v>
      </c>
    </row>
    <row r="521" spans="1:6" ht="15">
      <c r="A521" s="583" t="s">
        <v>1228</v>
      </c>
      <c r="B521" s="584" t="s">
        <v>1229</v>
      </c>
      <c r="C521" s="590">
        <v>27673.08</v>
      </c>
      <c r="D521" s="585">
        <v>697.47</v>
      </c>
      <c r="E521" s="584" t="s">
        <v>1550</v>
      </c>
      <c r="F521" s="586" t="s">
        <v>1230</v>
      </c>
    </row>
    <row r="522" spans="1:6" ht="15">
      <c r="A522" s="579" t="s">
        <v>1231</v>
      </c>
      <c r="B522" s="580" t="s">
        <v>1232</v>
      </c>
      <c r="C522" s="589">
        <v>0</v>
      </c>
      <c r="D522" s="581">
        <v>0</v>
      </c>
      <c r="E522" s="580" t="s">
        <v>1548</v>
      </c>
      <c r="F522" s="582" t="s">
        <v>100</v>
      </c>
    </row>
    <row r="523" spans="1:6" ht="15">
      <c r="A523" s="583" t="s">
        <v>1233</v>
      </c>
      <c r="B523" s="584" t="s">
        <v>1234</v>
      </c>
      <c r="C523" s="590">
        <v>0</v>
      </c>
      <c r="D523" s="585">
        <v>-3223.65</v>
      </c>
      <c r="E523" s="584" t="s">
        <v>1549</v>
      </c>
      <c r="F523" s="586" t="s">
        <v>100</v>
      </c>
    </row>
    <row r="524" spans="1:6" ht="15">
      <c r="A524" s="579" t="s">
        <v>1235</v>
      </c>
      <c r="B524" s="580" t="s">
        <v>1236</v>
      </c>
      <c r="C524" s="589">
        <v>0</v>
      </c>
      <c r="D524" s="581">
        <v>0</v>
      </c>
      <c r="E524" s="580" t="s">
        <v>1549</v>
      </c>
      <c r="F524" s="582" t="s">
        <v>100</v>
      </c>
    </row>
    <row r="525" spans="1:6" ht="15">
      <c r="A525" s="583" t="s">
        <v>1237</v>
      </c>
      <c r="B525" s="584" t="s">
        <v>1238</v>
      </c>
      <c r="C525" s="590">
        <v>0</v>
      </c>
      <c r="D525" s="585">
        <v>0</v>
      </c>
      <c r="E525" s="584" t="s">
        <v>1549</v>
      </c>
      <c r="F525" s="586" t="s">
        <v>100</v>
      </c>
    </row>
    <row r="526" spans="1:6" ht="15">
      <c r="A526" s="579" t="s">
        <v>1239</v>
      </c>
      <c r="B526" s="580" t="s">
        <v>1240</v>
      </c>
      <c r="C526" s="589">
        <v>217569.3</v>
      </c>
      <c r="D526" s="581">
        <v>0</v>
      </c>
      <c r="E526" s="580" t="s">
        <v>1549</v>
      </c>
      <c r="F526" s="582" t="s">
        <v>100</v>
      </c>
    </row>
    <row r="527" spans="1:6" ht="15">
      <c r="A527" s="583" t="s">
        <v>1241</v>
      </c>
      <c r="B527" s="584" t="s">
        <v>1242</v>
      </c>
      <c r="C527" s="590">
        <v>0</v>
      </c>
      <c r="D527" s="585">
        <v>0</v>
      </c>
      <c r="E527" s="584" t="s">
        <v>1549</v>
      </c>
      <c r="F527" s="586" t="s">
        <v>100</v>
      </c>
    </row>
    <row r="528" spans="1:6" ht="15">
      <c r="A528" s="579" t="s">
        <v>1243</v>
      </c>
      <c r="B528" s="580" t="s">
        <v>1244</v>
      </c>
      <c r="C528" s="589">
        <v>0</v>
      </c>
      <c r="D528" s="581">
        <v>0</v>
      </c>
      <c r="E528" s="580" t="s">
        <v>1549</v>
      </c>
      <c r="F528" s="582" t="s">
        <v>100</v>
      </c>
    </row>
    <row r="529" spans="1:6" ht="15">
      <c r="A529" s="583" t="s">
        <v>1245</v>
      </c>
      <c r="B529" s="584" t="s">
        <v>1246</v>
      </c>
      <c r="C529" s="590">
        <v>110968.6</v>
      </c>
      <c r="D529" s="585">
        <v>-118595.24</v>
      </c>
      <c r="E529" s="584" t="s">
        <v>1549</v>
      </c>
      <c r="F529" s="586" t="s">
        <v>100</v>
      </c>
    </row>
    <row r="530" spans="1:6" ht="15">
      <c r="A530" s="579" t="s">
        <v>1247</v>
      </c>
      <c r="B530" s="580" t="s">
        <v>1248</v>
      </c>
      <c r="C530" s="589">
        <v>0</v>
      </c>
      <c r="D530" s="581">
        <v>0</v>
      </c>
      <c r="E530" s="580" t="s">
        <v>1549</v>
      </c>
      <c r="F530" s="582" t="s">
        <v>100</v>
      </c>
    </row>
    <row r="531" spans="1:6" ht="15">
      <c r="A531" s="583" t="s">
        <v>1249</v>
      </c>
      <c r="B531" s="584" t="s">
        <v>1250</v>
      </c>
      <c r="C531" s="590">
        <v>328537.90000000002</v>
      </c>
      <c r="D531" s="585">
        <v>-121818.89</v>
      </c>
      <c r="E531" s="584" t="s">
        <v>1550</v>
      </c>
      <c r="F531" s="586" t="s">
        <v>1251</v>
      </c>
    </row>
    <row r="532" spans="1:6" ht="15">
      <c r="A532" s="579" t="s">
        <v>1252</v>
      </c>
      <c r="B532" s="580" t="s">
        <v>1253</v>
      </c>
      <c r="C532" s="589">
        <v>0</v>
      </c>
      <c r="D532" s="581">
        <v>0</v>
      </c>
      <c r="E532" s="580" t="s">
        <v>1548</v>
      </c>
      <c r="F532" s="582" t="s">
        <v>100</v>
      </c>
    </row>
    <row r="533" spans="1:6" ht="15">
      <c r="A533" s="583" t="s">
        <v>1254</v>
      </c>
      <c r="B533" s="584" t="s">
        <v>155</v>
      </c>
      <c r="C533" s="590">
        <v>0</v>
      </c>
      <c r="D533" s="585">
        <v>0</v>
      </c>
      <c r="E533" s="584" t="s">
        <v>1548</v>
      </c>
      <c r="F533" s="586" t="s">
        <v>100</v>
      </c>
    </row>
    <row r="534" spans="1:6" ht="15">
      <c r="A534" s="579" t="s">
        <v>1255</v>
      </c>
      <c r="B534" s="580" t="s">
        <v>1256</v>
      </c>
      <c r="C534" s="589">
        <v>0</v>
      </c>
      <c r="D534" s="581">
        <v>0</v>
      </c>
      <c r="E534" s="580" t="s">
        <v>1548</v>
      </c>
      <c r="F534" s="582" t="s">
        <v>100</v>
      </c>
    </row>
    <row r="535" spans="1:6" ht="15">
      <c r="A535" s="583" t="s">
        <v>1257</v>
      </c>
      <c r="B535" s="584" t="s">
        <v>1258</v>
      </c>
      <c r="C535" s="590">
        <v>0</v>
      </c>
      <c r="D535" s="585">
        <v>-4897004.3499999996</v>
      </c>
      <c r="E535" s="584" t="s">
        <v>1549</v>
      </c>
      <c r="F535" s="586" t="s">
        <v>100</v>
      </c>
    </row>
    <row r="536" spans="1:6" ht="15">
      <c r="A536" s="579" t="s">
        <v>1259</v>
      </c>
      <c r="B536" s="580" t="s">
        <v>1260</v>
      </c>
      <c r="C536" s="589">
        <v>0</v>
      </c>
      <c r="D536" s="581">
        <v>-13374030</v>
      </c>
      <c r="E536" s="580" t="s">
        <v>1549</v>
      </c>
      <c r="F536" s="582" t="s">
        <v>100</v>
      </c>
    </row>
    <row r="537" spans="1:6" ht="15">
      <c r="A537" s="583" t="s">
        <v>1261</v>
      </c>
      <c r="B537" s="584" t="s">
        <v>1262</v>
      </c>
      <c r="C537" s="590">
        <v>0</v>
      </c>
      <c r="D537" s="585">
        <v>-41536.839999999997</v>
      </c>
      <c r="E537" s="584" t="s">
        <v>1549</v>
      </c>
      <c r="F537" s="586" t="s">
        <v>100</v>
      </c>
    </row>
    <row r="538" spans="1:6" ht="15">
      <c r="A538" s="579" t="s">
        <v>1263</v>
      </c>
      <c r="B538" s="580" t="s">
        <v>1264</v>
      </c>
      <c r="C538" s="589">
        <v>0</v>
      </c>
      <c r="D538" s="581">
        <v>-594042.56999999995</v>
      </c>
      <c r="E538" s="580" t="s">
        <v>1549</v>
      </c>
      <c r="F538" s="582" t="s">
        <v>100</v>
      </c>
    </row>
    <row r="539" spans="1:6" ht="15">
      <c r="A539" s="583" t="s">
        <v>1265</v>
      </c>
      <c r="B539" s="584" t="s">
        <v>1625</v>
      </c>
      <c r="C539" s="590">
        <v>0</v>
      </c>
      <c r="D539" s="585">
        <v>0.3</v>
      </c>
      <c r="E539" s="584" t="s">
        <v>1549</v>
      </c>
      <c r="F539" s="586" t="s">
        <v>100</v>
      </c>
    </row>
    <row r="540" spans="1:6" ht="15">
      <c r="A540" s="579" t="s">
        <v>1267</v>
      </c>
      <c r="B540" s="580" t="s">
        <v>1268</v>
      </c>
      <c r="C540" s="589">
        <v>0</v>
      </c>
      <c r="D540" s="581">
        <v>-23391.73</v>
      </c>
      <c r="E540" s="580" t="s">
        <v>1549</v>
      </c>
      <c r="F540" s="582" t="s">
        <v>100</v>
      </c>
    </row>
    <row r="541" spans="1:6" ht="15">
      <c r="A541" s="583" t="s">
        <v>1269</v>
      </c>
      <c r="B541" s="584" t="s">
        <v>1270</v>
      </c>
      <c r="C541" s="590">
        <v>0</v>
      </c>
      <c r="D541" s="585">
        <v>-18930005.190000001</v>
      </c>
      <c r="E541" s="584" t="s">
        <v>1550</v>
      </c>
      <c r="F541" s="586" t="s">
        <v>1271</v>
      </c>
    </row>
    <row r="542" spans="1:6" ht="15">
      <c r="A542" s="579" t="s">
        <v>1272</v>
      </c>
      <c r="B542" s="580" t="s">
        <v>189</v>
      </c>
      <c r="C542" s="589">
        <v>0</v>
      </c>
      <c r="D542" s="581">
        <v>0</v>
      </c>
      <c r="E542" s="580" t="s">
        <v>1548</v>
      </c>
      <c r="F542" s="582" t="s">
        <v>100</v>
      </c>
    </row>
    <row r="543" spans="1:6" ht="15">
      <c r="A543" s="583" t="s">
        <v>1273</v>
      </c>
      <c r="B543" s="584" t="s">
        <v>1110</v>
      </c>
      <c r="C543" s="590">
        <v>0</v>
      </c>
      <c r="D543" s="585">
        <v>-3122180.5</v>
      </c>
      <c r="E543" s="584" t="s">
        <v>1549</v>
      </c>
      <c r="F543" s="586" t="s">
        <v>100</v>
      </c>
    </row>
    <row r="544" spans="1:6" ht="15">
      <c r="A544" s="579" t="s">
        <v>1274</v>
      </c>
      <c r="B544" s="580" t="s">
        <v>1626</v>
      </c>
      <c r="C544" s="589">
        <v>0</v>
      </c>
      <c r="D544" s="581">
        <v>-347304.58</v>
      </c>
      <c r="E544" s="580" t="s">
        <v>1549</v>
      </c>
      <c r="F544" s="582" t="s">
        <v>100</v>
      </c>
    </row>
    <row r="545" spans="1:6" ht="15">
      <c r="A545" s="583" t="s">
        <v>1276</v>
      </c>
      <c r="B545" s="584" t="s">
        <v>1277</v>
      </c>
      <c r="C545" s="590">
        <v>0</v>
      </c>
      <c r="D545" s="585">
        <v>0</v>
      </c>
      <c r="E545" s="584" t="s">
        <v>1549</v>
      </c>
      <c r="F545" s="586" t="s">
        <v>100</v>
      </c>
    </row>
    <row r="546" spans="1:6" ht="15">
      <c r="A546" s="579" t="s">
        <v>1278</v>
      </c>
      <c r="B546" s="580" t="s">
        <v>1279</v>
      </c>
      <c r="C546" s="589">
        <v>0</v>
      </c>
      <c r="D546" s="581">
        <v>-370819.4</v>
      </c>
      <c r="E546" s="580" t="s">
        <v>1549</v>
      </c>
      <c r="F546" s="582" t="s">
        <v>100</v>
      </c>
    </row>
    <row r="547" spans="1:6" ht="15">
      <c r="A547" s="583" t="s">
        <v>1280</v>
      </c>
      <c r="B547" s="584" t="s">
        <v>1281</v>
      </c>
      <c r="C547" s="590">
        <v>0</v>
      </c>
      <c r="D547" s="585">
        <v>61228.26</v>
      </c>
      <c r="E547" s="584" t="s">
        <v>1549</v>
      </c>
      <c r="F547" s="586" t="s">
        <v>100</v>
      </c>
    </row>
    <row r="548" spans="1:6" ht="15">
      <c r="A548" s="579" t="s">
        <v>1282</v>
      </c>
      <c r="B548" s="580" t="s">
        <v>251</v>
      </c>
      <c r="C548" s="589">
        <v>0</v>
      </c>
      <c r="D548" s="581">
        <v>-3779076.22</v>
      </c>
      <c r="E548" s="580" t="s">
        <v>1550</v>
      </c>
      <c r="F548" s="582" t="s">
        <v>1283</v>
      </c>
    </row>
    <row r="549" spans="1:6" ht="15">
      <c r="A549" s="583" t="s">
        <v>1284</v>
      </c>
      <c r="B549" s="584" t="s">
        <v>278</v>
      </c>
      <c r="C549" s="590">
        <v>0</v>
      </c>
      <c r="D549" s="585">
        <v>-22709081.41</v>
      </c>
      <c r="E549" s="584" t="s">
        <v>1550</v>
      </c>
      <c r="F549" s="586" t="s">
        <v>1285</v>
      </c>
    </row>
    <row r="550" spans="1:6" ht="15">
      <c r="A550" s="579" t="s">
        <v>1286</v>
      </c>
      <c r="B550" s="580" t="s">
        <v>281</v>
      </c>
      <c r="C550" s="589">
        <v>0</v>
      </c>
      <c r="D550" s="581">
        <v>0</v>
      </c>
      <c r="E550" s="580" t="s">
        <v>1548</v>
      </c>
      <c r="F550" s="582" t="s">
        <v>100</v>
      </c>
    </row>
    <row r="551" spans="1:6" ht="15">
      <c r="A551" s="583" t="s">
        <v>1287</v>
      </c>
      <c r="B551" s="584" t="s">
        <v>1288</v>
      </c>
      <c r="C551" s="590">
        <v>0</v>
      </c>
      <c r="D551" s="585">
        <v>0</v>
      </c>
      <c r="E551" s="584" t="s">
        <v>1548</v>
      </c>
      <c r="F551" s="586" t="s">
        <v>100</v>
      </c>
    </row>
    <row r="552" spans="1:6" ht="15">
      <c r="A552" s="579" t="s">
        <v>1289</v>
      </c>
      <c r="B552" s="580" t="s">
        <v>47</v>
      </c>
      <c r="C552" s="589">
        <v>3510</v>
      </c>
      <c r="D552" s="581">
        <v>1650474.93</v>
      </c>
      <c r="E552" s="580" t="s">
        <v>1549</v>
      </c>
      <c r="F552" s="582" t="s">
        <v>100</v>
      </c>
    </row>
    <row r="553" spans="1:6" ht="15">
      <c r="A553" s="583" t="s">
        <v>1290</v>
      </c>
      <c r="B553" s="584" t="s">
        <v>1627</v>
      </c>
      <c r="C553" s="590">
        <v>0</v>
      </c>
      <c r="D553" s="585">
        <v>12243.6</v>
      </c>
      <c r="E553" s="584" t="s">
        <v>1549</v>
      </c>
      <c r="F553" s="586" t="s">
        <v>100</v>
      </c>
    </row>
    <row r="554" spans="1:6" ht="15">
      <c r="A554" s="579" t="s">
        <v>1292</v>
      </c>
      <c r="B554" s="580" t="s">
        <v>1293</v>
      </c>
      <c r="C554" s="589">
        <v>0</v>
      </c>
      <c r="D554" s="581">
        <v>71329.34</v>
      </c>
      <c r="E554" s="580" t="s">
        <v>1549</v>
      </c>
      <c r="F554" s="582" t="s">
        <v>100</v>
      </c>
    </row>
    <row r="555" spans="1:6" ht="15">
      <c r="A555" s="583" t="s">
        <v>1294</v>
      </c>
      <c r="B555" s="584" t="s">
        <v>1295</v>
      </c>
      <c r="C555" s="590">
        <v>0</v>
      </c>
      <c r="D555" s="585">
        <v>60941.89</v>
      </c>
      <c r="E555" s="584" t="s">
        <v>1549</v>
      </c>
      <c r="F555" s="586" t="s">
        <v>100</v>
      </c>
    </row>
    <row r="556" spans="1:6" ht="15">
      <c r="A556" s="579" t="s">
        <v>1296</v>
      </c>
      <c r="B556" s="580" t="s">
        <v>1297</v>
      </c>
      <c r="C556" s="589">
        <v>0</v>
      </c>
      <c r="D556" s="581">
        <v>0</v>
      </c>
      <c r="E556" s="580" t="s">
        <v>1549</v>
      </c>
      <c r="F556" s="582" t="s">
        <v>100</v>
      </c>
    </row>
    <row r="557" spans="1:6" ht="15">
      <c r="A557" s="583" t="s">
        <v>1298</v>
      </c>
      <c r="B557" s="584" t="s">
        <v>1299</v>
      </c>
      <c r="C557" s="590">
        <v>0</v>
      </c>
      <c r="D557" s="585">
        <v>8787.7900000000009</v>
      </c>
      <c r="E557" s="584" t="s">
        <v>1549</v>
      </c>
      <c r="F557" s="586" t="s">
        <v>100</v>
      </c>
    </row>
    <row r="558" spans="1:6" ht="15">
      <c r="A558" s="579" t="s">
        <v>1300</v>
      </c>
      <c r="B558" s="580" t="s">
        <v>1301</v>
      </c>
      <c r="C558" s="589">
        <v>0</v>
      </c>
      <c r="D558" s="581">
        <v>7306.41</v>
      </c>
      <c r="E558" s="580" t="s">
        <v>1549</v>
      </c>
      <c r="F558" s="582" t="s">
        <v>100</v>
      </c>
    </row>
    <row r="559" spans="1:6" ht="15">
      <c r="A559" s="583" t="s">
        <v>1302</v>
      </c>
      <c r="B559" s="584" t="s">
        <v>1303</v>
      </c>
      <c r="C559" s="590">
        <v>0</v>
      </c>
      <c r="D559" s="585">
        <v>490627.78</v>
      </c>
      <c r="E559" s="584" t="s">
        <v>1549</v>
      </c>
      <c r="F559" s="586" t="s">
        <v>100</v>
      </c>
    </row>
    <row r="560" spans="1:6" ht="15">
      <c r="A560" s="579" t="s">
        <v>1304</v>
      </c>
      <c r="B560" s="580" t="s">
        <v>664</v>
      </c>
      <c r="C560" s="589">
        <v>0</v>
      </c>
      <c r="D560" s="581">
        <v>5481913.29</v>
      </c>
      <c r="E560" s="580" t="s">
        <v>1549</v>
      </c>
      <c r="F560" s="582" t="s">
        <v>100</v>
      </c>
    </row>
    <row r="561" spans="1:6" ht="15">
      <c r="A561" s="583" t="s">
        <v>1305</v>
      </c>
      <c r="B561" s="584" t="s">
        <v>1306</v>
      </c>
      <c r="C561" s="590">
        <v>0</v>
      </c>
      <c r="D561" s="585">
        <v>467188.27</v>
      </c>
      <c r="E561" s="584" t="s">
        <v>1549</v>
      </c>
      <c r="F561" s="586" t="s">
        <v>100</v>
      </c>
    </row>
    <row r="562" spans="1:6" ht="15">
      <c r="A562" s="579" t="s">
        <v>1307</v>
      </c>
      <c r="B562" s="580" t="s">
        <v>1628</v>
      </c>
      <c r="C562" s="589">
        <v>0</v>
      </c>
      <c r="D562" s="581">
        <v>1918698.69</v>
      </c>
      <c r="E562" s="580" t="s">
        <v>1549</v>
      </c>
      <c r="F562" s="582" t="s">
        <v>100</v>
      </c>
    </row>
    <row r="563" spans="1:6" ht="15">
      <c r="A563" s="583" t="s">
        <v>1309</v>
      </c>
      <c r="B563" s="584" t="s">
        <v>1310</v>
      </c>
      <c r="C563" s="590">
        <v>0</v>
      </c>
      <c r="D563" s="585">
        <v>310004.37</v>
      </c>
      <c r="E563" s="584" t="s">
        <v>1549</v>
      </c>
      <c r="F563" s="586" t="s">
        <v>100</v>
      </c>
    </row>
    <row r="564" spans="1:6" ht="15">
      <c r="A564" s="579" t="s">
        <v>1311</v>
      </c>
      <c r="B564" s="580" t="s">
        <v>1312</v>
      </c>
      <c r="C564" s="589">
        <v>0</v>
      </c>
      <c r="D564" s="581">
        <v>208123</v>
      </c>
      <c r="E564" s="580" t="s">
        <v>1549</v>
      </c>
      <c r="F564" s="582" t="s">
        <v>100</v>
      </c>
    </row>
    <row r="565" spans="1:6" ht="15">
      <c r="A565" s="583" t="s">
        <v>1313</v>
      </c>
      <c r="B565" s="584" t="s">
        <v>1314</v>
      </c>
      <c r="C565" s="590">
        <v>0</v>
      </c>
      <c r="D565" s="585">
        <v>636503.59</v>
      </c>
      <c r="E565" s="584" t="s">
        <v>1549</v>
      </c>
      <c r="F565" s="586" t="s">
        <v>100</v>
      </c>
    </row>
    <row r="566" spans="1:6" ht="15">
      <c r="A566" s="579" t="s">
        <v>1315</v>
      </c>
      <c r="B566" s="580" t="s">
        <v>1316</v>
      </c>
      <c r="C566" s="589">
        <v>0</v>
      </c>
      <c r="D566" s="581">
        <v>0</v>
      </c>
      <c r="E566" s="580" t="s">
        <v>1549</v>
      </c>
      <c r="F566" s="582" t="s">
        <v>100</v>
      </c>
    </row>
    <row r="567" spans="1:6" ht="15">
      <c r="A567" s="583" t="s">
        <v>1317</v>
      </c>
      <c r="B567" s="584" t="s">
        <v>1318</v>
      </c>
      <c r="C567" s="590">
        <v>0</v>
      </c>
      <c r="D567" s="585">
        <v>6000</v>
      </c>
      <c r="E567" s="584" t="s">
        <v>1549</v>
      </c>
      <c r="F567" s="586" t="s">
        <v>100</v>
      </c>
    </row>
    <row r="568" spans="1:6" ht="15">
      <c r="A568" s="579" t="s">
        <v>1319</v>
      </c>
      <c r="B568" s="580" t="s">
        <v>1320</v>
      </c>
      <c r="C568" s="589">
        <v>3510</v>
      </c>
      <c r="D568" s="581">
        <v>11330142.949999999</v>
      </c>
      <c r="E568" s="580" t="s">
        <v>1550</v>
      </c>
      <c r="F568" s="582" t="s">
        <v>1321</v>
      </c>
    </row>
    <row r="569" spans="1:6" ht="15">
      <c r="A569" s="583" t="s">
        <v>1322</v>
      </c>
      <c r="B569" s="584" t="s">
        <v>1323</v>
      </c>
      <c r="C569" s="590">
        <v>0</v>
      </c>
      <c r="D569" s="585">
        <v>0</v>
      </c>
      <c r="E569" s="584" t="s">
        <v>1548</v>
      </c>
      <c r="F569" s="586" t="s">
        <v>100</v>
      </c>
    </row>
    <row r="570" spans="1:6" ht="15">
      <c r="A570" s="579" t="s">
        <v>1324</v>
      </c>
      <c r="B570" s="580" t="s">
        <v>1325</v>
      </c>
      <c r="C570" s="589">
        <v>0</v>
      </c>
      <c r="D570" s="581">
        <v>89808.39</v>
      </c>
      <c r="E570" s="580" t="s">
        <v>1549</v>
      </c>
      <c r="F570" s="582" t="s">
        <v>100</v>
      </c>
    </row>
    <row r="571" spans="1:6" ht="15">
      <c r="A571" s="583" t="s">
        <v>1326</v>
      </c>
      <c r="B571" s="584" t="s">
        <v>1327</v>
      </c>
      <c r="C571" s="590">
        <v>0</v>
      </c>
      <c r="D571" s="585">
        <v>0</v>
      </c>
      <c r="E571" s="584" t="s">
        <v>1549</v>
      </c>
      <c r="F571" s="586" t="s">
        <v>100</v>
      </c>
    </row>
    <row r="572" spans="1:6" ht="15">
      <c r="A572" s="579" t="s">
        <v>1328</v>
      </c>
      <c r="B572" s="580" t="s">
        <v>1329</v>
      </c>
      <c r="C572" s="589">
        <v>0</v>
      </c>
      <c r="D572" s="581">
        <v>0</v>
      </c>
      <c r="E572" s="580" t="s">
        <v>1549</v>
      </c>
      <c r="F572" s="582" t="s">
        <v>100</v>
      </c>
    </row>
    <row r="573" spans="1:6" ht="15">
      <c r="A573" s="583" t="s">
        <v>1330</v>
      </c>
      <c r="B573" s="584" t="s">
        <v>1331</v>
      </c>
      <c r="C573" s="590">
        <v>0</v>
      </c>
      <c r="D573" s="585">
        <v>1027.75</v>
      </c>
      <c r="E573" s="584" t="s">
        <v>1549</v>
      </c>
      <c r="F573" s="586" t="s">
        <v>100</v>
      </c>
    </row>
    <row r="574" spans="1:6" ht="15">
      <c r="A574" s="579" t="s">
        <v>1332</v>
      </c>
      <c r="B574" s="580" t="s">
        <v>1333</v>
      </c>
      <c r="C574" s="589">
        <v>0</v>
      </c>
      <c r="D574" s="581">
        <v>90836.14</v>
      </c>
      <c r="E574" s="580" t="s">
        <v>1550</v>
      </c>
      <c r="F574" s="582" t="s">
        <v>1334</v>
      </c>
    </row>
    <row r="575" spans="1:6" ht="15">
      <c r="A575" s="583" t="s">
        <v>1335</v>
      </c>
      <c r="B575" s="584" t="s">
        <v>1336</v>
      </c>
      <c r="C575" s="590">
        <v>0</v>
      </c>
      <c r="D575" s="585">
        <v>0</v>
      </c>
      <c r="E575" s="584" t="s">
        <v>1548</v>
      </c>
      <c r="F575" s="586" t="s">
        <v>100</v>
      </c>
    </row>
    <row r="576" spans="1:6" ht="15">
      <c r="A576" s="579" t="s">
        <v>1337</v>
      </c>
      <c r="B576" s="580" t="s">
        <v>1338</v>
      </c>
      <c r="C576" s="589">
        <v>0</v>
      </c>
      <c r="D576" s="581">
        <v>817448.3</v>
      </c>
      <c r="E576" s="580" t="s">
        <v>1549</v>
      </c>
      <c r="F576" s="582" t="s">
        <v>100</v>
      </c>
    </row>
    <row r="577" spans="1:6" ht="15">
      <c r="A577" s="583" t="s">
        <v>1339</v>
      </c>
      <c r="B577" s="584" t="s">
        <v>1340</v>
      </c>
      <c r="C577" s="590">
        <v>0</v>
      </c>
      <c r="D577" s="585">
        <v>1952421.17</v>
      </c>
      <c r="E577" s="584" t="s">
        <v>1549</v>
      </c>
      <c r="F577" s="586" t="s">
        <v>100</v>
      </c>
    </row>
    <row r="578" spans="1:6" ht="15">
      <c r="A578" s="579" t="s">
        <v>1341</v>
      </c>
      <c r="B578" s="580" t="s">
        <v>1342</v>
      </c>
      <c r="C578" s="589">
        <v>0</v>
      </c>
      <c r="D578" s="581">
        <v>158400</v>
      </c>
      <c r="E578" s="580" t="s">
        <v>1549</v>
      </c>
      <c r="F578" s="582" t="s">
        <v>100</v>
      </c>
    </row>
    <row r="579" spans="1:6" ht="15">
      <c r="A579" s="583" t="s">
        <v>1343</v>
      </c>
      <c r="B579" s="584" t="s">
        <v>1344</v>
      </c>
      <c r="C579" s="590">
        <v>0</v>
      </c>
      <c r="D579" s="585">
        <v>769630.5</v>
      </c>
      <c r="E579" s="584" t="s">
        <v>1549</v>
      </c>
      <c r="F579" s="586" t="s">
        <v>100</v>
      </c>
    </row>
    <row r="580" spans="1:6" ht="15">
      <c r="A580" s="579" t="s">
        <v>1345</v>
      </c>
      <c r="B580" s="580" t="s">
        <v>1346</v>
      </c>
      <c r="C580" s="589">
        <v>0</v>
      </c>
      <c r="D580" s="581">
        <v>302294.33</v>
      </c>
      <c r="E580" s="580" t="s">
        <v>1549</v>
      </c>
      <c r="F580" s="582" t="s">
        <v>100</v>
      </c>
    </row>
    <row r="581" spans="1:6" ht="15">
      <c r="A581" s="583" t="s">
        <v>1347</v>
      </c>
      <c r="B581" s="584" t="s">
        <v>1348</v>
      </c>
      <c r="C581" s="590">
        <v>0</v>
      </c>
      <c r="D581" s="585">
        <v>192.16</v>
      </c>
      <c r="E581" s="584" t="s">
        <v>1549</v>
      </c>
      <c r="F581" s="586" t="s">
        <v>100</v>
      </c>
    </row>
    <row r="582" spans="1:6" ht="15">
      <c r="A582" s="579" t="s">
        <v>1349</v>
      </c>
      <c r="B582" s="580" t="s">
        <v>1350</v>
      </c>
      <c r="C582" s="589">
        <v>0</v>
      </c>
      <c r="D582" s="581">
        <v>121866.31</v>
      </c>
      <c r="E582" s="580" t="s">
        <v>1549</v>
      </c>
      <c r="F582" s="582" t="s">
        <v>100</v>
      </c>
    </row>
    <row r="583" spans="1:6" ht="15">
      <c r="A583" s="583" t="s">
        <v>1351</v>
      </c>
      <c r="B583" s="584" t="s">
        <v>1352</v>
      </c>
      <c r="C583" s="590">
        <v>0</v>
      </c>
      <c r="D583" s="585">
        <v>0</v>
      </c>
      <c r="E583" s="584" t="s">
        <v>1549</v>
      </c>
      <c r="F583" s="586" t="s">
        <v>100</v>
      </c>
    </row>
    <row r="584" spans="1:6" ht="15">
      <c r="A584" s="579" t="s">
        <v>1353</v>
      </c>
      <c r="B584" s="580" t="s">
        <v>1354</v>
      </c>
      <c r="C584" s="589">
        <v>0</v>
      </c>
      <c r="D584" s="581">
        <v>0</v>
      </c>
      <c r="E584" s="580" t="s">
        <v>1549</v>
      </c>
      <c r="F584" s="582" t="s">
        <v>100</v>
      </c>
    </row>
    <row r="585" spans="1:6" ht="15">
      <c r="A585" s="583" t="s">
        <v>1355</v>
      </c>
      <c r="B585" s="584" t="s">
        <v>1356</v>
      </c>
      <c r="C585" s="590">
        <v>0</v>
      </c>
      <c r="D585" s="585">
        <v>0</v>
      </c>
      <c r="E585" s="584" t="s">
        <v>1549</v>
      </c>
      <c r="F585" s="586" t="s">
        <v>100</v>
      </c>
    </row>
    <row r="586" spans="1:6" ht="15">
      <c r="A586" s="579" t="s">
        <v>1357</v>
      </c>
      <c r="B586" s="580" t="s">
        <v>1358</v>
      </c>
      <c r="C586" s="589">
        <v>0</v>
      </c>
      <c r="D586" s="581">
        <v>42825</v>
      </c>
      <c r="E586" s="580" t="s">
        <v>1549</v>
      </c>
      <c r="F586" s="582" t="s">
        <v>100</v>
      </c>
    </row>
    <row r="587" spans="1:6" ht="15">
      <c r="A587" s="583" t="s">
        <v>1359</v>
      </c>
      <c r="B587" s="584" t="s">
        <v>1360</v>
      </c>
      <c r="C587" s="590">
        <v>0</v>
      </c>
      <c r="D587" s="585">
        <v>995603.83</v>
      </c>
      <c r="E587" s="584" t="s">
        <v>1549</v>
      </c>
      <c r="F587" s="586" t="s">
        <v>100</v>
      </c>
    </row>
    <row r="588" spans="1:6" ht="15">
      <c r="A588" s="579" t="s">
        <v>1361</v>
      </c>
      <c r="B588" s="580" t="s">
        <v>1362</v>
      </c>
      <c r="C588" s="589">
        <v>0</v>
      </c>
      <c r="D588" s="581">
        <v>1116922.56</v>
      </c>
      <c r="E588" s="580" t="s">
        <v>1549</v>
      </c>
      <c r="F588" s="582" t="s">
        <v>100</v>
      </c>
    </row>
    <row r="589" spans="1:6" ht="15">
      <c r="A589" s="583" t="s">
        <v>1363</v>
      </c>
      <c r="B589" s="584" t="s">
        <v>1364</v>
      </c>
      <c r="C589" s="590">
        <v>0</v>
      </c>
      <c r="D589" s="585">
        <v>0</v>
      </c>
      <c r="E589" s="584" t="s">
        <v>1549</v>
      </c>
      <c r="F589" s="586" t="s">
        <v>100</v>
      </c>
    </row>
    <row r="590" spans="1:6" ht="15">
      <c r="A590" s="579" t="s">
        <v>1365</v>
      </c>
      <c r="B590" s="580" t="s">
        <v>1366</v>
      </c>
      <c r="C590" s="589">
        <v>0</v>
      </c>
      <c r="D590" s="581">
        <v>2513434.85</v>
      </c>
      <c r="E590" s="580" t="s">
        <v>1549</v>
      </c>
      <c r="F590" s="582" t="s">
        <v>100</v>
      </c>
    </row>
    <row r="591" spans="1:6" ht="15">
      <c r="A591" s="583" t="s">
        <v>1367</v>
      </c>
      <c r="B591" s="584" t="s">
        <v>495</v>
      </c>
      <c r="C591" s="590">
        <v>0</v>
      </c>
      <c r="D591" s="585">
        <v>709548.51</v>
      </c>
      <c r="E591" s="584" t="s">
        <v>1549</v>
      </c>
      <c r="F591" s="586" t="s">
        <v>100</v>
      </c>
    </row>
    <row r="592" spans="1:6" ht="15">
      <c r="A592" s="579" t="s">
        <v>1368</v>
      </c>
      <c r="B592" s="580" t="s">
        <v>1369</v>
      </c>
      <c r="C592" s="589">
        <v>0</v>
      </c>
      <c r="D592" s="581">
        <v>718347.01</v>
      </c>
      <c r="E592" s="580" t="s">
        <v>1549</v>
      </c>
      <c r="F592" s="582" t="s">
        <v>100</v>
      </c>
    </row>
    <row r="593" spans="1:6" ht="15">
      <c r="A593" s="583" t="s">
        <v>1370</v>
      </c>
      <c r="B593" s="584" t="s">
        <v>1301</v>
      </c>
      <c r="C593" s="590">
        <v>0</v>
      </c>
      <c r="D593" s="585">
        <v>0</v>
      </c>
      <c r="E593" s="584" t="s">
        <v>1549</v>
      </c>
      <c r="F593" s="586" t="s">
        <v>100</v>
      </c>
    </row>
    <row r="594" spans="1:6" ht="15">
      <c r="A594" s="579" t="s">
        <v>1371</v>
      </c>
      <c r="B594" s="580" t="s">
        <v>1372</v>
      </c>
      <c r="C594" s="589">
        <v>0</v>
      </c>
      <c r="D594" s="581">
        <v>9275.66</v>
      </c>
      <c r="E594" s="580" t="s">
        <v>1549</v>
      </c>
      <c r="F594" s="582" t="s">
        <v>100</v>
      </c>
    </row>
    <row r="595" spans="1:6" ht="15">
      <c r="A595" s="583" t="s">
        <v>1373</v>
      </c>
      <c r="B595" s="584" t="s">
        <v>1374</v>
      </c>
      <c r="C595" s="590">
        <v>0</v>
      </c>
      <c r="D595" s="585">
        <v>10228210.189999999</v>
      </c>
      <c r="E595" s="584" t="s">
        <v>1550</v>
      </c>
      <c r="F595" s="586" t="s">
        <v>1375</v>
      </c>
    </row>
    <row r="596" spans="1:6" ht="15">
      <c r="A596" s="579" t="s">
        <v>1376</v>
      </c>
      <c r="B596" s="580" t="s">
        <v>1377</v>
      </c>
      <c r="C596" s="589">
        <v>0</v>
      </c>
      <c r="D596" s="581">
        <v>0</v>
      </c>
      <c r="E596" s="580" t="s">
        <v>1548</v>
      </c>
      <c r="F596" s="582" t="s">
        <v>100</v>
      </c>
    </row>
    <row r="597" spans="1:6" ht="15">
      <c r="A597" s="583" t="s">
        <v>1378</v>
      </c>
      <c r="B597" s="584" t="s">
        <v>1379</v>
      </c>
      <c r="C597" s="590">
        <v>0</v>
      </c>
      <c r="D597" s="585">
        <v>1916729.39</v>
      </c>
      <c r="E597" s="584" t="s">
        <v>1549</v>
      </c>
      <c r="F597" s="586" t="s">
        <v>100</v>
      </c>
    </row>
    <row r="598" spans="1:6" ht="15">
      <c r="A598" s="579" t="s">
        <v>1380</v>
      </c>
      <c r="B598" s="580" t="s">
        <v>1381</v>
      </c>
      <c r="C598" s="589">
        <v>0</v>
      </c>
      <c r="D598" s="581">
        <v>1916729.39</v>
      </c>
      <c r="E598" s="580" t="s">
        <v>1550</v>
      </c>
      <c r="F598" s="582" t="s">
        <v>1382</v>
      </c>
    </row>
    <row r="599" spans="1:6" ht="15">
      <c r="A599" s="583" t="s">
        <v>1383</v>
      </c>
      <c r="B599" s="584" t="s">
        <v>1384</v>
      </c>
      <c r="C599" s="590">
        <v>0</v>
      </c>
      <c r="D599" s="585">
        <v>0</v>
      </c>
      <c r="E599" s="584" t="s">
        <v>1548</v>
      </c>
      <c r="F599" s="586" t="s">
        <v>100</v>
      </c>
    </row>
    <row r="600" spans="1:6" ht="15">
      <c r="A600" s="579" t="s">
        <v>1385</v>
      </c>
      <c r="B600" s="580" t="s">
        <v>1386</v>
      </c>
      <c r="C600" s="589">
        <v>0</v>
      </c>
      <c r="D600" s="581">
        <v>53388.75</v>
      </c>
      <c r="E600" s="580" t="s">
        <v>1549</v>
      </c>
      <c r="F600" s="582" t="s">
        <v>100</v>
      </c>
    </row>
    <row r="601" spans="1:6" ht="15">
      <c r="A601" s="583" t="s">
        <v>1387</v>
      </c>
      <c r="B601" s="584" t="s">
        <v>1388</v>
      </c>
      <c r="C601" s="590">
        <v>0</v>
      </c>
      <c r="D601" s="585">
        <v>0</v>
      </c>
      <c r="E601" s="584" t="s">
        <v>1549</v>
      </c>
      <c r="F601" s="586" t="s">
        <v>100</v>
      </c>
    </row>
    <row r="602" spans="1:6" ht="15">
      <c r="A602" s="579" t="s">
        <v>1389</v>
      </c>
      <c r="B602" s="580" t="s">
        <v>1390</v>
      </c>
      <c r="C602" s="589">
        <v>0</v>
      </c>
      <c r="D602" s="581">
        <v>0</v>
      </c>
      <c r="E602" s="580" t="s">
        <v>1549</v>
      </c>
      <c r="F602" s="582" t="s">
        <v>100</v>
      </c>
    </row>
    <row r="603" spans="1:6" ht="15">
      <c r="A603" s="583" t="s">
        <v>1391</v>
      </c>
      <c r="B603" s="584" t="s">
        <v>1392</v>
      </c>
      <c r="C603" s="590">
        <v>0</v>
      </c>
      <c r="D603" s="585">
        <v>53388.75</v>
      </c>
      <c r="E603" s="584" t="s">
        <v>1550</v>
      </c>
      <c r="F603" s="586" t="s">
        <v>1393</v>
      </c>
    </row>
    <row r="604" spans="1:6" ht="15">
      <c r="A604" s="579" t="s">
        <v>1394</v>
      </c>
      <c r="B604" s="580" t="s">
        <v>1152</v>
      </c>
      <c r="C604" s="589">
        <v>3510</v>
      </c>
      <c r="D604" s="581">
        <v>23619307.420000002</v>
      </c>
      <c r="E604" s="580" t="s">
        <v>1550</v>
      </c>
      <c r="F604" s="582" t="s">
        <v>1395</v>
      </c>
    </row>
    <row r="605" spans="1:6" ht="15">
      <c r="A605" s="583" t="s">
        <v>1396</v>
      </c>
      <c r="B605" s="584" t="s">
        <v>1397</v>
      </c>
      <c r="C605" s="590">
        <v>3510</v>
      </c>
      <c r="D605" s="585">
        <v>910226.01</v>
      </c>
      <c r="E605" s="584" t="s">
        <v>1550</v>
      </c>
      <c r="F605" s="586" t="s">
        <v>1398</v>
      </c>
    </row>
    <row r="606" spans="1:6" ht="15">
      <c r="A606" s="579" t="s">
        <v>1399</v>
      </c>
      <c r="B606" s="580" t="s">
        <v>1400</v>
      </c>
      <c r="C606" s="589">
        <v>0</v>
      </c>
      <c r="D606" s="581">
        <v>0</v>
      </c>
      <c r="E606" s="580" t="s">
        <v>1548</v>
      </c>
      <c r="F606" s="582" t="s">
        <v>100</v>
      </c>
    </row>
    <row r="607" spans="1:6" ht="15">
      <c r="A607" s="583" t="s">
        <v>1401</v>
      </c>
      <c r="B607" s="584" t="s">
        <v>1402</v>
      </c>
      <c r="C607" s="590">
        <v>-17094.04</v>
      </c>
      <c r="D607" s="585">
        <v>-28359.05</v>
      </c>
      <c r="E607" s="584" t="s">
        <v>1549</v>
      </c>
      <c r="F607" s="586" t="s">
        <v>100</v>
      </c>
    </row>
    <row r="608" spans="1:6" ht="15">
      <c r="A608" s="579" t="s">
        <v>1403</v>
      </c>
      <c r="B608" s="580" t="s">
        <v>1404</v>
      </c>
      <c r="C608" s="589">
        <v>-1753.69</v>
      </c>
      <c r="D608" s="581">
        <v>-1913.75</v>
      </c>
      <c r="E608" s="580" t="s">
        <v>1549</v>
      </c>
      <c r="F608" s="582" t="s">
        <v>100</v>
      </c>
    </row>
    <row r="609" spans="1:6" ht="15">
      <c r="A609" s="583" t="s">
        <v>1405</v>
      </c>
      <c r="B609" s="584" t="s">
        <v>1406</v>
      </c>
      <c r="C609" s="590">
        <v>40591</v>
      </c>
      <c r="D609" s="585">
        <v>-0.87</v>
      </c>
      <c r="E609" s="584" t="s">
        <v>1549</v>
      </c>
      <c r="F609" s="586" t="s">
        <v>100</v>
      </c>
    </row>
    <row r="610" spans="1:6" ht="15">
      <c r="A610" s="579" t="s">
        <v>1407</v>
      </c>
      <c r="B610" s="580" t="s">
        <v>1408</v>
      </c>
      <c r="C610" s="589">
        <v>21743.27</v>
      </c>
      <c r="D610" s="581">
        <v>-30273.67</v>
      </c>
      <c r="E610" s="580" t="s">
        <v>1550</v>
      </c>
      <c r="F610" s="582" t="s">
        <v>1409</v>
      </c>
    </row>
    <row r="611" spans="1:6" ht="15">
      <c r="A611" s="583" t="s">
        <v>1410</v>
      </c>
      <c r="B611" s="584" t="s">
        <v>1411</v>
      </c>
      <c r="C611" s="590">
        <v>0</v>
      </c>
      <c r="D611" s="585">
        <v>0</v>
      </c>
      <c r="E611" s="584" t="s">
        <v>1548</v>
      </c>
      <c r="F611" s="586" t="s">
        <v>100</v>
      </c>
    </row>
    <row r="612" spans="1:6" ht="15">
      <c r="A612" s="579" t="s">
        <v>1412</v>
      </c>
      <c r="B612" s="580" t="s">
        <v>1413</v>
      </c>
      <c r="C612" s="589">
        <v>0</v>
      </c>
      <c r="D612" s="581">
        <v>0</v>
      </c>
      <c r="E612" s="580" t="s">
        <v>1549</v>
      </c>
      <c r="F612" s="582" t="s">
        <v>100</v>
      </c>
    </row>
    <row r="613" spans="1:6" ht="15">
      <c r="A613" s="583" t="s">
        <v>1414</v>
      </c>
      <c r="B613" s="584" t="s">
        <v>1415</v>
      </c>
      <c r="C613" s="590">
        <v>1753.53</v>
      </c>
      <c r="D613" s="585">
        <v>-1763.65</v>
      </c>
      <c r="E613" s="584" t="s">
        <v>1549</v>
      </c>
      <c r="F613" s="586" t="s">
        <v>100</v>
      </c>
    </row>
    <row r="614" spans="1:6" ht="15">
      <c r="A614" s="579" t="s">
        <v>1416</v>
      </c>
      <c r="B614" s="580" t="s">
        <v>1417</v>
      </c>
      <c r="C614" s="589">
        <v>0</v>
      </c>
      <c r="D614" s="581">
        <v>0.62</v>
      </c>
      <c r="E614" s="580" t="s">
        <v>1549</v>
      </c>
      <c r="F614" s="582" t="s">
        <v>100</v>
      </c>
    </row>
    <row r="615" spans="1:6" ht="15">
      <c r="A615" s="583" t="s">
        <v>1418</v>
      </c>
      <c r="B615" s="584" t="s">
        <v>515</v>
      </c>
      <c r="C615" s="590">
        <v>-259437.56</v>
      </c>
      <c r="D615" s="585">
        <v>-823507.47</v>
      </c>
      <c r="E615" s="584" t="s">
        <v>1549</v>
      </c>
      <c r="F615" s="586" t="s">
        <v>100</v>
      </c>
    </row>
    <row r="616" spans="1:6" ht="15">
      <c r="A616" s="579" t="s">
        <v>1629</v>
      </c>
      <c r="B616" s="580" t="s">
        <v>1630</v>
      </c>
      <c r="C616" s="589">
        <v>0</v>
      </c>
      <c r="D616" s="581">
        <v>-1213989.02</v>
      </c>
      <c r="E616" s="580" t="s">
        <v>1549</v>
      </c>
      <c r="F616" s="582" t="s">
        <v>100</v>
      </c>
    </row>
    <row r="617" spans="1:6" ht="15">
      <c r="A617" s="583" t="s">
        <v>1631</v>
      </c>
      <c r="B617" s="584" t="s">
        <v>1632</v>
      </c>
      <c r="C617" s="590">
        <v>0</v>
      </c>
      <c r="D617" s="585">
        <v>0</v>
      </c>
      <c r="E617" s="584" t="s">
        <v>1549</v>
      </c>
      <c r="F617" s="586" t="s">
        <v>100</v>
      </c>
    </row>
    <row r="618" spans="1:6" ht="15">
      <c r="A618" s="579" t="s">
        <v>1419</v>
      </c>
      <c r="B618" s="580" t="s">
        <v>1420</v>
      </c>
      <c r="C618" s="589">
        <v>-257684.03</v>
      </c>
      <c r="D618" s="581">
        <v>-2039259.52</v>
      </c>
      <c r="E618" s="580" t="s">
        <v>1550</v>
      </c>
      <c r="F618" s="582" t="s">
        <v>1421</v>
      </c>
    </row>
    <row r="619" spans="1:6" ht="15">
      <c r="A619" s="583" t="s">
        <v>1422</v>
      </c>
      <c r="B619" s="584" t="s">
        <v>1423</v>
      </c>
      <c r="C619" s="590">
        <v>0</v>
      </c>
      <c r="D619" s="585">
        <v>0</v>
      </c>
      <c r="E619" s="584" t="s">
        <v>1548</v>
      </c>
      <c r="F619" s="586" t="s">
        <v>100</v>
      </c>
    </row>
    <row r="620" spans="1:6" ht="15">
      <c r="A620" s="579" t="s">
        <v>1424</v>
      </c>
      <c r="B620" s="580" t="s">
        <v>1425</v>
      </c>
      <c r="C620" s="589">
        <v>-16044.15</v>
      </c>
      <c r="D620" s="581">
        <v>-17255.2</v>
      </c>
      <c r="E620" s="580" t="s">
        <v>1549</v>
      </c>
      <c r="F620" s="582" t="s">
        <v>100</v>
      </c>
    </row>
    <row r="621" spans="1:6" ht="15">
      <c r="A621" s="583" t="s">
        <v>1426</v>
      </c>
      <c r="B621" s="584" t="s">
        <v>1427</v>
      </c>
      <c r="C621" s="590">
        <v>0</v>
      </c>
      <c r="D621" s="585">
        <v>0</v>
      </c>
      <c r="E621" s="584" t="s">
        <v>1549</v>
      </c>
      <c r="F621" s="586" t="s">
        <v>100</v>
      </c>
    </row>
    <row r="622" spans="1:6" ht="15">
      <c r="A622" s="579" t="s">
        <v>1428</v>
      </c>
      <c r="B622" s="580" t="s">
        <v>1429</v>
      </c>
      <c r="C622" s="589">
        <v>13995.6</v>
      </c>
      <c r="D622" s="581">
        <v>-7749.4</v>
      </c>
      <c r="E622" s="580" t="s">
        <v>1549</v>
      </c>
      <c r="F622" s="582" t="s">
        <v>100</v>
      </c>
    </row>
    <row r="623" spans="1:6" ht="15">
      <c r="A623" s="583" t="s">
        <v>1430</v>
      </c>
      <c r="B623" s="584" t="s">
        <v>1633</v>
      </c>
      <c r="C623" s="590">
        <v>18735.09</v>
      </c>
      <c r="D623" s="585">
        <v>0</v>
      </c>
      <c r="E623" s="584" t="s">
        <v>1549</v>
      </c>
      <c r="F623" s="586" t="s">
        <v>100</v>
      </c>
    </row>
    <row r="624" spans="1:6" ht="15">
      <c r="A624" s="579" t="s">
        <v>1432</v>
      </c>
      <c r="B624" s="580" t="s">
        <v>1433</v>
      </c>
      <c r="C624" s="589">
        <v>37010</v>
      </c>
      <c r="D624" s="581">
        <v>181212.76</v>
      </c>
      <c r="E624" s="580" t="s">
        <v>1549</v>
      </c>
      <c r="F624" s="582" t="s">
        <v>100</v>
      </c>
    </row>
    <row r="625" spans="1:16" ht="15">
      <c r="A625" s="583" t="s">
        <v>1434</v>
      </c>
      <c r="B625" s="584" t="s">
        <v>1435</v>
      </c>
      <c r="C625" s="590">
        <v>-37010</v>
      </c>
      <c r="D625" s="585">
        <v>-181212.76</v>
      </c>
      <c r="E625" s="584" t="s">
        <v>1549</v>
      </c>
      <c r="F625" s="586" t="s">
        <v>100</v>
      </c>
    </row>
    <row r="626" spans="1:16" ht="15">
      <c r="A626" s="579" t="s">
        <v>1436</v>
      </c>
      <c r="B626" s="580" t="s">
        <v>1437</v>
      </c>
      <c r="C626" s="589">
        <v>349265</v>
      </c>
      <c r="D626" s="581">
        <v>206980</v>
      </c>
      <c r="E626" s="580" t="s">
        <v>1549</v>
      </c>
      <c r="F626" s="582" t="s">
        <v>100</v>
      </c>
    </row>
    <row r="627" spans="1:16" ht="15">
      <c r="A627" s="583" t="s">
        <v>1438</v>
      </c>
      <c r="B627" s="584" t="s">
        <v>1439</v>
      </c>
      <c r="C627" s="590">
        <v>365951.54</v>
      </c>
      <c r="D627" s="585">
        <v>181975.4</v>
      </c>
      <c r="E627" s="584" t="s">
        <v>1550</v>
      </c>
      <c r="F627" s="586" t="s">
        <v>1440</v>
      </c>
    </row>
    <row r="628" spans="1:16" ht="15">
      <c r="A628" s="579" t="s">
        <v>1441</v>
      </c>
      <c r="B628" s="580" t="s">
        <v>1442</v>
      </c>
      <c r="C628" s="589">
        <v>827942.38</v>
      </c>
      <c r="D628" s="581">
        <v>-2244798.83</v>
      </c>
      <c r="E628" s="580" t="s">
        <v>1550</v>
      </c>
      <c r="F628" s="582" t="s">
        <v>1443</v>
      </c>
    </row>
    <row r="629" spans="1:16" ht="15">
      <c r="A629" s="583" t="s">
        <v>1444</v>
      </c>
      <c r="B629" s="584" t="s">
        <v>1445</v>
      </c>
      <c r="C629" s="590">
        <v>936862.45</v>
      </c>
      <c r="D629" s="585">
        <v>-66083000</v>
      </c>
      <c r="E629" s="584" t="s">
        <v>1550</v>
      </c>
      <c r="F629" s="586" t="s">
        <v>1446</v>
      </c>
    </row>
    <row r="638" spans="1:16" ht="15">
      <c r="A638" s="591">
        <v>45006</v>
      </c>
      <c r="B638" s="580" t="s">
        <v>1634</v>
      </c>
      <c r="C638" s="580" t="s">
        <v>457</v>
      </c>
      <c r="D638" s="580" t="s">
        <v>1635</v>
      </c>
      <c r="E638" s="580" t="s">
        <v>100</v>
      </c>
      <c r="F638" s="580" t="s">
        <v>1636</v>
      </c>
      <c r="G638" s="581">
        <v>1148</v>
      </c>
      <c r="H638" s="580" t="s">
        <v>1637</v>
      </c>
      <c r="I638" s="580" t="s">
        <v>972</v>
      </c>
      <c r="J638" s="581">
        <v>0</v>
      </c>
      <c r="K638" s="592">
        <v>45006</v>
      </c>
      <c r="L638" s="593">
        <v>1851187</v>
      </c>
      <c r="M638" s="580" t="s">
        <v>100</v>
      </c>
      <c r="N638" s="580" t="s">
        <v>100</v>
      </c>
      <c r="O638" s="580" t="s">
        <v>1638</v>
      </c>
      <c r="P638" s="582" t="s">
        <v>100</v>
      </c>
    </row>
    <row r="639" spans="1:16" ht="15">
      <c r="A639" s="594">
        <v>45006</v>
      </c>
      <c r="B639" s="584" t="s">
        <v>1639</v>
      </c>
      <c r="C639" s="584" t="s">
        <v>457</v>
      </c>
      <c r="D639" s="584" t="s">
        <v>1640</v>
      </c>
      <c r="E639" s="584" t="s">
        <v>100</v>
      </c>
      <c r="F639" s="584" t="s">
        <v>1636</v>
      </c>
      <c r="G639" s="585">
        <v>660.6</v>
      </c>
      <c r="H639" s="584" t="s">
        <v>1641</v>
      </c>
      <c r="I639" s="584" t="s">
        <v>100</v>
      </c>
      <c r="J639" s="585">
        <v>0</v>
      </c>
      <c r="K639" s="595">
        <v>45006</v>
      </c>
      <c r="L639" s="596">
        <v>1851185</v>
      </c>
      <c r="M639" s="584" t="s">
        <v>100</v>
      </c>
      <c r="N639" s="584" t="s">
        <v>100</v>
      </c>
      <c r="O639" s="584" t="s">
        <v>1638</v>
      </c>
      <c r="P639" s="586" t="s">
        <v>100</v>
      </c>
    </row>
    <row r="640" spans="1:16" ht="15">
      <c r="A640" s="591">
        <v>45006</v>
      </c>
      <c r="B640" s="580" t="s">
        <v>1639</v>
      </c>
      <c r="C640" s="580" t="s">
        <v>447</v>
      </c>
      <c r="D640" s="580" t="s">
        <v>1642</v>
      </c>
      <c r="E640" s="580" t="s">
        <v>100</v>
      </c>
      <c r="F640" s="580" t="s">
        <v>1636</v>
      </c>
      <c r="G640" s="581">
        <v>394</v>
      </c>
      <c r="H640" s="580" t="s">
        <v>1641</v>
      </c>
      <c r="I640" s="580" t="s">
        <v>100</v>
      </c>
      <c r="J640" s="581">
        <v>0</v>
      </c>
      <c r="K640" s="592">
        <v>45006</v>
      </c>
      <c r="L640" s="593">
        <v>1851184</v>
      </c>
      <c r="M640" s="580" t="s">
        <v>100</v>
      </c>
      <c r="N640" s="580" t="s">
        <v>100</v>
      </c>
      <c r="O640" s="580" t="s">
        <v>1638</v>
      </c>
      <c r="P640" s="582" t="s">
        <v>100</v>
      </c>
    </row>
    <row r="641" spans="1:16" ht="15">
      <c r="A641" s="591"/>
      <c r="B641" s="580"/>
      <c r="C641" s="580"/>
      <c r="D641" s="580"/>
      <c r="E641" s="580"/>
      <c r="F641" s="580"/>
      <c r="G641" s="581">
        <f>SUM(G638:G640)</f>
        <v>2202.6</v>
      </c>
      <c r="H641" s="580"/>
      <c r="I641" s="580"/>
      <c r="J641" s="581"/>
      <c r="K641" s="592"/>
      <c r="L641" s="593"/>
      <c r="M641" s="580"/>
      <c r="N641" s="580"/>
      <c r="O641" s="580"/>
      <c r="P641" s="582"/>
    </row>
    <row r="642" spans="1:16" ht="15">
      <c r="A642" s="591"/>
      <c r="B642" s="580"/>
      <c r="C642" s="580"/>
      <c r="D642" s="580"/>
      <c r="E642" s="580"/>
      <c r="F642" s="580"/>
      <c r="G642" s="581"/>
      <c r="H642" s="580"/>
      <c r="I642" s="580"/>
      <c r="J642" s="581"/>
      <c r="K642" s="592"/>
      <c r="L642" s="593"/>
      <c r="M642" s="580"/>
      <c r="N642" s="580"/>
      <c r="O642" s="580"/>
      <c r="P642" s="582"/>
    </row>
    <row r="643" spans="1:16" ht="15">
      <c r="A643" s="594">
        <v>44973</v>
      </c>
      <c r="B643" s="584" t="s">
        <v>1643</v>
      </c>
      <c r="C643" s="584" t="s">
        <v>451</v>
      </c>
      <c r="D643" s="584" t="s">
        <v>1644</v>
      </c>
      <c r="E643" s="584" t="s">
        <v>100</v>
      </c>
      <c r="F643" s="584" t="s">
        <v>437</v>
      </c>
      <c r="G643" s="585">
        <v>28490</v>
      </c>
      <c r="H643" s="584" t="s">
        <v>1641</v>
      </c>
      <c r="I643" s="584" t="s">
        <v>100</v>
      </c>
      <c r="J643" s="585">
        <v>0</v>
      </c>
      <c r="K643" s="595">
        <v>44973</v>
      </c>
      <c r="L643" s="596">
        <v>1850582</v>
      </c>
      <c r="M643" s="584" t="s">
        <v>1645</v>
      </c>
      <c r="N643" s="584" t="s">
        <v>100</v>
      </c>
      <c r="O643" s="584" t="s">
        <v>1646</v>
      </c>
      <c r="P643" s="586" t="s">
        <v>100</v>
      </c>
    </row>
    <row r="644" spans="1:16" ht="15">
      <c r="A644" s="591">
        <v>45014</v>
      </c>
      <c r="B644" s="580" t="s">
        <v>1647</v>
      </c>
      <c r="C644" s="580" t="s">
        <v>447</v>
      </c>
      <c r="D644" s="580" t="s">
        <v>1648</v>
      </c>
      <c r="E644" s="580" t="s">
        <v>100</v>
      </c>
      <c r="F644" s="580" t="s">
        <v>437</v>
      </c>
      <c r="G644" s="581">
        <v>25875</v>
      </c>
      <c r="H644" s="580" t="s">
        <v>1641</v>
      </c>
      <c r="I644" s="580" t="s">
        <v>100</v>
      </c>
      <c r="J644" s="581">
        <v>0</v>
      </c>
      <c r="K644" s="592">
        <v>45014</v>
      </c>
      <c r="L644" s="593">
        <v>1852962</v>
      </c>
      <c r="M644" s="580" t="s">
        <v>1649</v>
      </c>
      <c r="N644" s="580" t="s">
        <v>100</v>
      </c>
      <c r="O644" s="580" t="s">
        <v>1646</v>
      </c>
      <c r="P644" s="582" t="s">
        <v>100</v>
      </c>
    </row>
    <row r="645" spans="1:16" ht="15">
      <c r="A645" s="594">
        <v>44999</v>
      </c>
      <c r="B645" s="584" t="s">
        <v>1650</v>
      </c>
      <c r="C645" s="584" t="s">
        <v>447</v>
      </c>
      <c r="D645" s="584" t="s">
        <v>1651</v>
      </c>
      <c r="E645" s="584" t="s">
        <v>100</v>
      </c>
      <c r="F645" s="584" t="s">
        <v>437</v>
      </c>
      <c r="G645" s="585">
        <v>-813.75</v>
      </c>
      <c r="H645" s="584" t="s">
        <v>1641</v>
      </c>
      <c r="I645" s="584" t="s">
        <v>100</v>
      </c>
      <c r="J645" s="585">
        <v>0</v>
      </c>
      <c r="K645" s="595">
        <v>44999</v>
      </c>
      <c r="L645" s="596">
        <v>1851101</v>
      </c>
      <c r="M645" s="584" t="s">
        <v>1652</v>
      </c>
      <c r="N645" s="584" t="s">
        <v>100</v>
      </c>
      <c r="O645" s="584" t="s">
        <v>1646</v>
      </c>
      <c r="P645" s="586" t="s">
        <v>100</v>
      </c>
    </row>
    <row r="646" spans="1:16" ht="15">
      <c r="A646" s="591">
        <v>44999</v>
      </c>
      <c r="B646" s="580" t="s">
        <v>1653</v>
      </c>
      <c r="C646" s="580" t="s">
        <v>447</v>
      </c>
      <c r="D646" s="580" t="s">
        <v>1654</v>
      </c>
      <c r="E646" s="580" t="s">
        <v>100</v>
      </c>
      <c r="F646" s="580" t="s">
        <v>437</v>
      </c>
      <c r="G646" s="581">
        <v>-846.25</v>
      </c>
      <c r="H646" s="580" t="s">
        <v>1641</v>
      </c>
      <c r="I646" s="580" t="s">
        <v>100</v>
      </c>
      <c r="J646" s="581">
        <v>0</v>
      </c>
      <c r="K646" s="592">
        <v>44999</v>
      </c>
      <c r="L646" s="593">
        <v>1851099</v>
      </c>
      <c r="M646" s="580" t="s">
        <v>1655</v>
      </c>
      <c r="N646" s="580" t="s">
        <v>100</v>
      </c>
      <c r="O646" s="580" t="s">
        <v>1646</v>
      </c>
      <c r="P646" s="582" t="s">
        <v>100</v>
      </c>
    </row>
    <row r="647" spans="1:16" ht="15">
      <c r="A647" s="594">
        <v>44973</v>
      </c>
      <c r="B647" s="584" t="s">
        <v>1643</v>
      </c>
      <c r="C647" s="584" t="s">
        <v>447</v>
      </c>
      <c r="D647" s="584" t="s">
        <v>1644</v>
      </c>
      <c r="E647" s="584" t="s">
        <v>100</v>
      </c>
      <c r="F647" s="584" t="s">
        <v>437</v>
      </c>
      <c r="G647" s="585">
        <v>14025</v>
      </c>
      <c r="H647" s="584" t="s">
        <v>1641</v>
      </c>
      <c r="I647" s="584" t="s">
        <v>100</v>
      </c>
      <c r="J647" s="585">
        <v>0</v>
      </c>
      <c r="K647" s="595">
        <v>44973</v>
      </c>
      <c r="L647" s="596">
        <v>1850583</v>
      </c>
      <c r="M647" s="584" t="s">
        <v>1645</v>
      </c>
      <c r="N647" s="584" t="s">
        <v>100</v>
      </c>
      <c r="O647" s="584" t="s">
        <v>1646</v>
      </c>
      <c r="P647" s="586" t="s">
        <v>100</v>
      </c>
    </row>
    <row r="648" spans="1:16" ht="15">
      <c r="A648" s="591">
        <v>44967</v>
      </c>
      <c r="B648" s="580" t="s">
        <v>1656</v>
      </c>
      <c r="C648" s="580" t="s">
        <v>447</v>
      </c>
      <c r="D648" s="580" t="s">
        <v>1657</v>
      </c>
      <c r="E648" s="580" t="s">
        <v>100</v>
      </c>
      <c r="F648" s="580" t="s">
        <v>437</v>
      </c>
      <c r="G648" s="581">
        <v>9220</v>
      </c>
      <c r="H648" s="580" t="s">
        <v>1641</v>
      </c>
      <c r="I648" s="580" t="s">
        <v>100</v>
      </c>
      <c r="J648" s="581">
        <v>0</v>
      </c>
      <c r="K648" s="592">
        <v>44967</v>
      </c>
      <c r="L648" s="593">
        <v>1848353</v>
      </c>
      <c r="M648" s="580" t="s">
        <v>1658</v>
      </c>
      <c r="N648" s="580" t="s">
        <v>100</v>
      </c>
      <c r="O648" s="580" t="s">
        <v>1646</v>
      </c>
      <c r="P648" s="582" t="s">
        <v>100</v>
      </c>
    </row>
    <row r="649" spans="1:16" ht="15">
      <c r="A649" s="594">
        <v>44957</v>
      </c>
      <c r="B649" s="584" t="s">
        <v>1659</v>
      </c>
      <c r="C649" s="584" t="s">
        <v>443</v>
      </c>
      <c r="D649" s="584" t="s">
        <v>1660</v>
      </c>
      <c r="E649" s="584" t="s">
        <v>100</v>
      </c>
      <c r="F649" s="584" t="s">
        <v>437</v>
      </c>
      <c r="G649" s="585">
        <v>14062.5</v>
      </c>
      <c r="H649" s="584" t="s">
        <v>1641</v>
      </c>
      <c r="I649" s="584" t="s">
        <v>100</v>
      </c>
      <c r="J649" s="585">
        <v>0</v>
      </c>
      <c r="K649" s="595">
        <v>44957</v>
      </c>
      <c r="L649" s="596">
        <v>1848271</v>
      </c>
      <c r="M649" s="584" t="s">
        <v>1661</v>
      </c>
      <c r="N649" s="584" t="s">
        <v>100</v>
      </c>
      <c r="O649" s="584" t="s">
        <v>1646</v>
      </c>
      <c r="P649" s="586" t="s">
        <v>100</v>
      </c>
    </row>
    <row r="650" spans="1:16" ht="15">
      <c r="A650" s="594"/>
      <c r="B650" s="584"/>
      <c r="C650" s="584"/>
      <c r="D650" s="584"/>
      <c r="E650" s="584"/>
      <c r="F650" s="584"/>
      <c r="G650" s="585">
        <f>SUM(G643:G649)</f>
        <v>90012.5</v>
      </c>
      <c r="H650" s="584"/>
      <c r="I650" s="584"/>
      <c r="J650" s="585"/>
      <c r="K650" s="595"/>
      <c r="L650" s="596"/>
      <c r="M650" s="584"/>
      <c r="N650" s="584"/>
      <c r="O650" s="584"/>
      <c r="P650" s="586"/>
    </row>
    <row r="651" spans="1:16" ht="15">
      <c r="A651" s="594"/>
      <c r="B651" s="584"/>
      <c r="C651" s="584"/>
      <c r="D651" s="584"/>
      <c r="E651" s="584"/>
      <c r="F651" s="584"/>
      <c r="G651" s="585"/>
      <c r="H651" s="584"/>
      <c r="I651" s="584"/>
      <c r="J651" s="585"/>
      <c r="K651" s="595"/>
      <c r="L651" s="596"/>
      <c r="M651" s="584"/>
      <c r="N651" s="584"/>
      <c r="O651" s="584"/>
      <c r="P651" s="586"/>
    </row>
    <row r="652" spans="1:16" ht="15">
      <c r="A652" s="591">
        <v>45013</v>
      </c>
      <c r="B652" s="580" t="s">
        <v>1662</v>
      </c>
      <c r="C652" s="580" t="s">
        <v>457</v>
      </c>
      <c r="D652" s="580" t="s">
        <v>1663</v>
      </c>
      <c r="E652" s="580" t="s">
        <v>100</v>
      </c>
      <c r="F652" s="580" t="s">
        <v>1664</v>
      </c>
      <c r="G652" s="581">
        <v>402.09</v>
      </c>
      <c r="H652" s="580" t="s">
        <v>1637</v>
      </c>
      <c r="I652" s="580" t="s">
        <v>972</v>
      </c>
      <c r="J652" s="581">
        <v>0</v>
      </c>
      <c r="K652" s="592">
        <v>45013</v>
      </c>
      <c r="L652" s="593">
        <v>1851883</v>
      </c>
      <c r="M652" s="580" t="s">
        <v>100</v>
      </c>
      <c r="N652" s="580" t="s">
        <v>100</v>
      </c>
      <c r="O652" s="580" t="s">
        <v>1638</v>
      </c>
      <c r="P652" s="582" t="s">
        <v>100</v>
      </c>
    </row>
    <row r="653" spans="1:16" ht="15">
      <c r="A653" s="594">
        <v>45007</v>
      </c>
      <c r="B653" s="584" t="s">
        <v>1665</v>
      </c>
      <c r="C653" s="584" t="s">
        <v>457</v>
      </c>
      <c r="D653" s="584" t="s">
        <v>1666</v>
      </c>
      <c r="E653" s="584" t="s">
        <v>100</v>
      </c>
      <c r="F653" s="584" t="s">
        <v>1664</v>
      </c>
      <c r="G653" s="585">
        <v>335.75</v>
      </c>
      <c r="H653" s="584" t="s">
        <v>1637</v>
      </c>
      <c r="I653" s="584" t="s">
        <v>972</v>
      </c>
      <c r="J653" s="585">
        <v>0</v>
      </c>
      <c r="K653" s="595">
        <v>45007</v>
      </c>
      <c r="L653" s="596">
        <v>1851374</v>
      </c>
      <c r="M653" s="584" t="s">
        <v>100</v>
      </c>
      <c r="N653" s="584" t="s">
        <v>100</v>
      </c>
      <c r="O653" s="584" t="s">
        <v>1638</v>
      </c>
      <c r="P653" s="586" t="s">
        <v>100</v>
      </c>
    </row>
    <row r="654" spans="1:16" ht="15">
      <c r="A654" s="591">
        <v>45007</v>
      </c>
      <c r="B654" s="580" t="s">
        <v>1667</v>
      </c>
      <c r="C654" s="580" t="s">
        <v>457</v>
      </c>
      <c r="D654" s="580" t="s">
        <v>1668</v>
      </c>
      <c r="E654" s="580" t="s">
        <v>100</v>
      </c>
      <c r="F654" s="580" t="s">
        <v>1664</v>
      </c>
      <c r="G654" s="581">
        <v>148.4</v>
      </c>
      <c r="H654" s="580" t="s">
        <v>1637</v>
      </c>
      <c r="I654" s="580" t="s">
        <v>972</v>
      </c>
      <c r="J654" s="581">
        <v>0</v>
      </c>
      <c r="K654" s="592">
        <v>45007</v>
      </c>
      <c r="L654" s="593">
        <v>1851372</v>
      </c>
      <c r="M654" s="580" t="s">
        <v>100</v>
      </c>
      <c r="N654" s="580" t="s">
        <v>100</v>
      </c>
      <c r="O654" s="580" t="s">
        <v>1638</v>
      </c>
      <c r="P654" s="582" t="s">
        <v>100</v>
      </c>
    </row>
    <row r="655" spans="1:16" ht="15">
      <c r="A655" s="591"/>
      <c r="B655" s="580"/>
      <c r="C655" s="580"/>
      <c r="D655" s="580"/>
      <c r="E655" s="580"/>
      <c r="F655" s="580"/>
      <c r="G655" s="581">
        <f>SUM(G652:G654)</f>
        <v>886.2399999999999</v>
      </c>
      <c r="H655" s="580"/>
      <c r="I655" s="580"/>
      <c r="J655" s="581"/>
      <c r="K655" s="592"/>
      <c r="L655" s="593"/>
      <c r="M655" s="580"/>
      <c r="N655" s="580"/>
      <c r="O655" s="580"/>
      <c r="P655" s="582"/>
    </row>
    <row r="656" spans="1:16" ht="15">
      <c r="A656" s="591"/>
      <c r="B656" s="580"/>
      <c r="C656" s="580"/>
      <c r="D656" s="580"/>
      <c r="E656" s="580"/>
      <c r="F656" s="580"/>
      <c r="G656" s="581"/>
      <c r="H656" s="580"/>
      <c r="I656" s="580"/>
      <c r="J656" s="581"/>
      <c r="K656" s="592"/>
      <c r="L656" s="593"/>
      <c r="M656" s="580"/>
      <c r="N656" s="580"/>
      <c r="O656" s="580"/>
      <c r="P656" s="582"/>
    </row>
    <row r="657" spans="1:16" ht="15">
      <c r="A657" s="594">
        <v>44995</v>
      </c>
      <c r="B657" s="584" t="s">
        <v>1669</v>
      </c>
      <c r="C657" s="584" t="s">
        <v>459</v>
      </c>
      <c r="D657" s="584" t="s">
        <v>1670</v>
      </c>
      <c r="E657" s="584" t="s">
        <v>100</v>
      </c>
      <c r="F657" s="584" t="s">
        <v>61</v>
      </c>
      <c r="G657" s="585">
        <v>509.25</v>
      </c>
      <c r="H657" s="584" t="s">
        <v>1637</v>
      </c>
      <c r="I657" s="584" t="s">
        <v>972</v>
      </c>
      <c r="J657" s="585">
        <v>0</v>
      </c>
      <c r="K657" s="595">
        <v>44995</v>
      </c>
      <c r="L657" s="596">
        <v>1850676</v>
      </c>
      <c r="M657" s="584" t="s">
        <v>100</v>
      </c>
      <c r="N657" s="584" t="s">
        <v>100</v>
      </c>
      <c r="O657" s="584" t="s">
        <v>1638</v>
      </c>
      <c r="P657" s="586" t="s">
        <v>100</v>
      </c>
    </row>
    <row r="658" spans="1:16" ht="15">
      <c r="A658" s="591">
        <v>44937</v>
      </c>
      <c r="B658" s="580" t="s">
        <v>1671</v>
      </c>
      <c r="C658" s="580" t="s">
        <v>459</v>
      </c>
      <c r="D658" s="580" t="s">
        <v>1672</v>
      </c>
      <c r="E658" s="580" t="s">
        <v>100</v>
      </c>
      <c r="F658" s="580" t="s">
        <v>61</v>
      </c>
      <c r="G658" s="581">
        <v>279.3</v>
      </c>
      <c r="H658" s="580" t="s">
        <v>1641</v>
      </c>
      <c r="I658" s="580" t="s">
        <v>100</v>
      </c>
      <c r="J658" s="581">
        <v>0</v>
      </c>
      <c r="K658" s="592">
        <v>44937</v>
      </c>
      <c r="L658" s="593">
        <v>1847130</v>
      </c>
      <c r="M658" s="580" t="s">
        <v>1673</v>
      </c>
      <c r="N658" s="580" t="s">
        <v>100</v>
      </c>
      <c r="O658" s="580" t="s">
        <v>1646</v>
      </c>
      <c r="P658" s="582" t="s">
        <v>100</v>
      </c>
    </row>
    <row r="659" spans="1:16" ht="15">
      <c r="A659" s="594">
        <v>45006</v>
      </c>
      <c r="B659" s="584" t="s">
        <v>1674</v>
      </c>
      <c r="C659" s="584" t="s">
        <v>457</v>
      </c>
      <c r="D659" s="584" t="s">
        <v>1675</v>
      </c>
      <c r="E659" s="584" t="s">
        <v>100</v>
      </c>
      <c r="F659" s="584" t="s">
        <v>61</v>
      </c>
      <c r="G659" s="585">
        <v>2849.15</v>
      </c>
      <c r="H659" s="584" t="s">
        <v>1641</v>
      </c>
      <c r="I659" s="584" t="s">
        <v>980</v>
      </c>
      <c r="J659" s="585">
        <v>0</v>
      </c>
      <c r="K659" s="595">
        <v>45006</v>
      </c>
      <c r="L659" s="596">
        <v>1851950</v>
      </c>
      <c r="M659" s="584" t="s">
        <v>100</v>
      </c>
      <c r="N659" s="584" t="s">
        <v>100</v>
      </c>
      <c r="O659" s="584" t="s">
        <v>1638</v>
      </c>
      <c r="P659" s="586" t="s">
        <v>100</v>
      </c>
    </row>
    <row r="660" spans="1:16" ht="15">
      <c r="A660" s="591">
        <v>45006</v>
      </c>
      <c r="B660" s="580" t="s">
        <v>1676</v>
      </c>
      <c r="C660" s="580" t="s">
        <v>457</v>
      </c>
      <c r="D660" s="580" t="s">
        <v>1677</v>
      </c>
      <c r="E660" s="580" t="s">
        <v>1678</v>
      </c>
      <c r="F660" s="580" t="s">
        <v>61</v>
      </c>
      <c r="G660" s="581">
        <v>-351</v>
      </c>
      <c r="H660" s="580" t="s">
        <v>1641</v>
      </c>
      <c r="I660" s="580" t="s">
        <v>347</v>
      </c>
      <c r="J660" s="581">
        <v>0</v>
      </c>
      <c r="K660" s="592">
        <v>45006</v>
      </c>
      <c r="L660" s="593">
        <v>1851390</v>
      </c>
      <c r="M660" s="580" t="s">
        <v>100</v>
      </c>
      <c r="N660" s="580" t="s">
        <v>100</v>
      </c>
      <c r="O660" s="580" t="s">
        <v>1638</v>
      </c>
      <c r="P660" s="582" t="s">
        <v>100</v>
      </c>
    </row>
    <row r="661" spans="1:16" ht="15">
      <c r="A661" s="594">
        <v>45006</v>
      </c>
      <c r="B661" s="584" t="s">
        <v>1676</v>
      </c>
      <c r="C661" s="584" t="s">
        <v>457</v>
      </c>
      <c r="D661" s="584" t="s">
        <v>1677</v>
      </c>
      <c r="E661" s="584" t="s">
        <v>1678</v>
      </c>
      <c r="F661" s="584" t="s">
        <v>61</v>
      </c>
      <c r="G661" s="585">
        <v>-351</v>
      </c>
      <c r="H661" s="584" t="s">
        <v>1641</v>
      </c>
      <c r="I661" s="584" t="s">
        <v>347</v>
      </c>
      <c r="J661" s="585">
        <v>0</v>
      </c>
      <c r="K661" s="595">
        <v>45006</v>
      </c>
      <c r="L661" s="596">
        <v>1851388</v>
      </c>
      <c r="M661" s="584" t="s">
        <v>100</v>
      </c>
      <c r="N661" s="584" t="s">
        <v>100</v>
      </c>
      <c r="O661" s="584" t="s">
        <v>1638</v>
      </c>
      <c r="P661" s="586" t="s">
        <v>100</v>
      </c>
    </row>
    <row r="662" spans="1:16" ht="15">
      <c r="A662" s="591">
        <v>45006</v>
      </c>
      <c r="B662" s="580" t="s">
        <v>1676</v>
      </c>
      <c r="C662" s="580" t="s">
        <v>457</v>
      </c>
      <c r="D662" s="580" t="s">
        <v>1679</v>
      </c>
      <c r="E662" s="580" t="s">
        <v>1678</v>
      </c>
      <c r="F662" s="580" t="s">
        <v>61</v>
      </c>
      <c r="G662" s="581">
        <v>-90.85</v>
      </c>
      <c r="H662" s="580" t="s">
        <v>1641</v>
      </c>
      <c r="I662" s="580" t="s">
        <v>347</v>
      </c>
      <c r="J662" s="581">
        <v>0</v>
      </c>
      <c r="K662" s="592">
        <v>45006</v>
      </c>
      <c r="L662" s="593">
        <v>1851386</v>
      </c>
      <c r="M662" s="580" t="s">
        <v>100</v>
      </c>
      <c r="N662" s="580" t="s">
        <v>100</v>
      </c>
      <c r="O662" s="580" t="s">
        <v>1638</v>
      </c>
      <c r="P662" s="582" t="s">
        <v>100</v>
      </c>
    </row>
    <row r="663" spans="1:16" ht="15">
      <c r="A663" s="594">
        <v>45006</v>
      </c>
      <c r="B663" s="584" t="s">
        <v>1676</v>
      </c>
      <c r="C663" s="584" t="s">
        <v>457</v>
      </c>
      <c r="D663" s="584" t="s">
        <v>1680</v>
      </c>
      <c r="E663" s="584" t="s">
        <v>1678</v>
      </c>
      <c r="F663" s="584" t="s">
        <v>61</v>
      </c>
      <c r="G663" s="585">
        <v>-30</v>
      </c>
      <c r="H663" s="584" t="s">
        <v>1641</v>
      </c>
      <c r="I663" s="584" t="s">
        <v>347</v>
      </c>
      <c r="J663" s="585">
        <v>0</v>
      </c>
      <c r="K663" s="595">
        <v>45006</v>
      </c>
      <c r="L663" s="596">
        <v>1851384</v>
      </c>
      <c r="M663" s="584" t="s">
        <v>100</v>
      </c>
      <c r="N663" s="584" t="s">
        <v>100</v>
      </c>
      <c r="O663" s="584" t="s">
        <v>1638</v>
      </c>
      <c r="P663" s="586" t="s">
        <v>100</v>
      </c>
    </row>
    <row r="664" spans="1:16" ht="15">
      <c r="A664" s="591">
        <v>45006</v>
      </c>
      <c r="B664" s="580" t="s">
        <v>1681</v>
      </c>
      <c r="C664" s="580" t="s">
        <v>457</v>
      </c>
      <c r="D664" s="580" t="s">
        <v>1680</v>
      </c>
      <c r="E664" s="580" t="s">
        <v>100</v>
      </c>
      <c r="F664" s="580" t="s">
        <v>61</v>
      </c>
      <c r="G664" s="581">
        <v>30</v>
      </c>
      <c r="H664" s="580" t="s">
        <v>1641</v>
      </c>
      <c r="I664" s="580" t="s">
        <v>100</v>
      </c>
      <c r="J664" s="581">
        <v>0</v>
      </c>
      <c r="K664" s="592">
        <v>45006</v>
      </c>
      <c r="L664" s="593">
        <v>1851180</v>
      </c>
      <c r="M664" s="580" t="s">
        <v>100</v>
      </c>
      <c r="N664" s="580" t="s">
        <v>100</v>
      </c>
      <c r="O664" s="580" t="s">
        <v>1638</v>
      </c>
      <c r="P664" s="582" t="s">
        <v>100</v>
      </c>
    </row>
    <row r="665" spans="1:16" ht="15">
      <c r="A665" s="594">
        <v>45006</v>
      </c>
      <c r="B665" s="584" t="s">
        <v>1681</v>
      </c>
      <c r="C665" s="584" t="s">
        <v>457</v>
      </c>
      <c r="D665" s="584" t="s">
        <v>1679</v>
      </c>
      <c r="E665" s="584" t="s">
        <v>100</v>
      </c>
      <c r="F665" s="584" t="s">
        <v>61</v>
      </c>
      <c r="G665" s="585">
        <v>90.85</v>
      </c>
      <c r="H665" s="584" t="s">
        <v>1641</v>
      </c>
      <c r="I665" s="584" t="s">
        <v>100</v>
      </c>
      <c r="J665" s="585">
        <v>0</v>
      </c>
      <c r="K665" s="595">
        <v>45006</v>
      </c>
      <c r="L665" s="596">
        <v>1851179</v>
      </c>
      <c r="M665" s="584" t="s">
        <v>100</v>
      </c>
      <c r="N665" s="584" t="s">
        <v>100</v>
      </c>
      <c r="O665" s="584" t="s">
        <v>1638</v>
      </c>
      <c r="P665" s="586" t="s">
        <v>100</v>
      </c>
    </row>
    <row r="666" spans="1:16" ht="15">
      <c r="A666" s="591">
        <v>45006</v>
      </c>
      <c r="B666" s="580" t="s">
        <v>1681</v>
      </c>
      <c r="C666" s="580" t="s">
        <v>457</v>
      </c>
      <c r="D666" s="580" t="s">
        <v>1677</v>
      </c>
      <c r="E666" s="580" t="s">
        <v>100</v>
      </c>
      <c r="F666" s="580" t="s">
        <v>61</v>
      </c>
      <c r="G666" s="581">
        <v>351</v>
      </c>
      <c r="H666" s="580" t="s">
        <v>1641</v>
      </c>
      <c r="I666" s="580" t="s">
        <v>100</v>
      </c>
      <c r="J666" s="581">
        <v>0</v>
      </c>
      <c r="K666" s="592">
        <v>45006</v>
      </c>
      <c r="L666" s="593">
        <v>1851178</v>
      </c>
      <c r="M666" s="580" t="s">
        <v>100</v>
      </c>
      <c r="N666" s="580" t="s">
        <v>100</v>
      </c>
      <c r="O666" s="580" t="s">
        <v>1638</v>
      </c>
      <c r="P666" s="582" t="s">
        <v>100</v>
      </c>
    </row>
    <row r="667" spans="1:16" ht="15">
      <c r="A667" s="594">
        <v>45006</v>
      </c>
      <c r="B667" s="584" t="s">
        <v>1681</v>
      </c>
      <c r="C667" s="584" t="s">
        <v>457</v>
      </c>
      <c r="D667" s="584" t="s">
        <v>1677</v>
      </c>
      <c r="E667" s="584" t="s">
        <v>100</v>
      </c>
      <c r="F667" s="584" t="s">
        <v>61</v>
      </c>
      <c r="G667" s="585">
        <v>351</v>
      </c>
      <c r="H667" s="584" t="s">
        <v>1641</v>
      </c>
      <c r="I667" s="584" t="s">
        <v>100</v>
      </c>
      <c r="J667" s="585">
        <v>0</v>
      </c>
      <c r="K667" s="595">
        <v>45006</v>
      </c>
      <c r="L667" s="596">
        <v>1851177</v>
      </c>
      <c r="M667" s="584" t="s">
        <v>100</v>
      </c>
      <c r="N667" s="584" t="s">
        <v>100</v>
      </c>
      <c r="O667" s="584" t="s">
        <v>1638</v>
      </c>
      <c r="P667" s="586" t="s">
        <v>100</v>
      </c>
    </row>
    <row r="668" spans="1:16" ht="15">
      <c r="A668" s="591">
        <v>44998</v>
      </c>
      <c r="B668" s="580" t="s">
        <v>1682</v>
      </c>
      <c r="C668" s="580" t="s">
        <v>457</v>
      </c>
      <c r="D668" s="580" t="s">
        <v>1683</v>
      </c>
      <c r="E668" s="580" t="s">
        <v>100</v>
      </c>
      <c r="F668" s="580" t="s">
        <v>61</v>
      </c>
      <c r="G668" s="581">
        <v>24</v>
      </c>
      <c r="H668" s="580" t="s">
        <v>1641</v>
      </c>
      <c r="I668" s="580" t="s">
        <v>100</v>
      </c>
      <c r="J668" s="581">
        <v>0</v>
      </c>
      <c r="K668" s="592">
        <v>44998</v>
      </c>
      <c r="L668" s="593">
        <v>1850763</v>
      </c>
      <c r="M668" s="580" t="s">
        <v>100</v>
      </c>
      <c r="N668" s="580" t="s">
        <v>100</v>
      </c>
      <c r="O668" s="580" t="s">
        <v>1638</v>
      </c>
      <c r="P668" s="582" t="s">
        <v>100</v>
      </c>
    </row>
    <row r="669" spans="1:16" ht="15">
      <c r="A669" s="594">
        <v>44991</v>
      </c>
      <c r="B669" s="584" t="s">
        <v>1684</v>
      </c>
      <c r="C669" s="584" t="s">
        <v>457</v>
      </c>
      <c r="D669" s="584" t="s">
        <v>1685</v>
      </c>
      <c r="E669" s="584" t="s">
        <v>100</v>
      </c>
      <c r="F669" s="584" t="s">
        <v>61</v>
      </c>
      <c r="G669" s="585">
        <v>41.5</v>
      </c>
      <c r="H669" s="584" t="s">
        <v>1641</v>
      </c>
      <c r="I669" s="584" t="s">
        <v>980</v>
      </c>
      <c r="J669" s="585">
        <v>0</v>
      </c>
      <c r="K669" s="595">
        <v>44991</v>
      </c>
      <c r="L669" s="596">
        <v>1850852</v>
      </c>
      <c r="M669" s="584" t="s">
        <v>100</v>
      </c>
      <c r="N669" s="584" t="s">
        <v>100</v>
      </c>
      <c r="O669" s="584" t="s">
        <v>1638</v>
      </c>
      <c r="P669" s="586" t="s">
        <v>100</v>
      </c>
    </row>
    <row r="670" spans="1:16" ht="15">
      <c r="A670" s="591">
        <v>44991</v>
      </c>
      <c r="B670" s="580" t="s">
        <v>1684</v>
      </c>
      <c r="C670" s="580" t="s">
        <v>457</v>
      </c>
      <c r="D670" s="580" t="s">
        <v>1685</v>
      </c>
      <c r="E670" s="580" t="s">
        <v>100</v>
      </c>
      <c r="F670" s="580" t="s">
        <v>61</v>
      </c>
      <c r="G670" s="581">
        <v>2766.34</v>
      </c>
      <c r="H670" s="580" t="s">
        <v>1641</v>
      </c>
      <c r="I670" s="580" t="s">
        <v>980</v>
      </c>
      <c r="J670" s="581">
        <v>0</v>
      </c>
      <c r="K670" s="592">
        <v>44991</v>
      </c>
      <c r="L670" s="593">
        <v>1850850</v>
      </c>
      <c r="M670" s="580" t="s">
        <v>100</v>
      </c>
      <c r="N670" s="580" t="s">
        <v>100</v>
      </c>
      <c r="O670" s="580" t="s">
        <v>1638</v>
      </c>
      <c r="P670" s="582" t="s">
        <v>100</v>
      </c>
    </row>
    <row r="671" spans="1:16" ht="15">
      <c r="A671" s="594">
        <v>44963</v>
      </c>
      <c r="B671" s="584" t="s">
        <v>1686</v>
      </c>
      <c r="C671" s="584" t="s">
        <v>457</v>
      </c>
      <c r="D671" s="584" t="s">
        <v>1687</v>
      </c>
      <c r="E671" s="584" t="s">
        <v>100</v>
      </c>
      <c r="F671" s="584" t="s">
        <v>61</v>
      </c>
      <c r="G671" s="585">
        <v>40.49</v>
      </c>
      <c r="H671" s="584" t="s">
        <v>1641</v>
      </c>
      <c r="I671" s="584" t="s">
        <v>980</v>
      </c>
      <c r="J671" s="585">
        <v>0</v>
      </c>
      <c r="K671" s="595">
        <v>44963</v>
      </c>
      <c r="L671" s="596">
        <v>1847470</v>
      </c>
      <c r="M671" s="584" t="s">
        <v>100</v>
      </c>
      <c r="N671" s="584" t="s">
        <v>100</v>
      </c>
      <c r="O671" s="584" t="s">
        <v>1638</v>
      </c>
      <c r="P671" s="586" t="s">
        <v>100</v>
      </c>
    </row>
    <row r="672" spans="1:16" ht="15">
      <c r="A672" s="591">
        <v>44963</v>
      </c>
      <c r="B672" s="580" t="s">
        <v>1686</v>
      </c>
      <c r="C672" s="580" t="s">
        <v>457</v>
      </c>
      <c r="D672" s="580" t="s">
        <v>1688</v>
      </c>
      <c r="E672" s="580" t="s">
        <v>100</v>
      </c>
      <c r="F672" s="580" t="s">
        <v>61</v>
      </c>
      <c r="G672" s="581">
        <v>2699.36</v>
      </c>
      <c r="H672" s="580" t="s">
        <v>1641</v>
      </c>
      <c r="I672" s="580" t="s">
        <v>980</v>
      </c>
      <c r="J672" s="581">
        <v>0</v>
      </c>
      <c r="K672" s="592">
        <v>44963</v>
      </c>
      <c r="L672" s="593">
        <v>1847468</v>
      </c>
      <c r="M672" s="580" t="s">
        <v>100</v>
      </c>
      <c r="N672" s="580" t="s">
        <v>100</v>
      </c>
      <c r="O672" s="580" t="s">
        <v>1638</v>
      </c>
      <c r="P672" s="582" t="s">
        <v>100</v>
      </c>
    </row>
    <row r="673" spans="1:16" ht="15">
      <c r="A673" s="594">
        <v>44931</v>
      </c>
      <c r="B673" s="584" t="s">
        <v>1689</v>
      </c>
      <c r="C673" s="584" t="s">
        <v>457</v>
      </c>
      <c r="D673" s="584" t="s">
        <v>1690</v>
      </c>
      <c r="E673" s="584" t="s">
        <v>100</v>
      </c>
      <c r="F673" s="584" t="s">
        <v>61</v>
      </c>
      <c r="G673" s="585">
        <v>-42.42</v>
      </c>
      <c r="H673" s="584" t="s">
        <v>1641</v>
      </c>
      <c r="I673" s="584" t="s">
        <v>980</v>
      </c>
      <c r="J673" s="585">
        <v>0</v>
      </c>
      <c r="K673" s="595">
        <v>44931</v>
      </c>
      <c r="L673" s="596">
        <v>1852624</v>
      </c>
      <c r="M673" s="584" t="s">
        <v>100</v>
      </c>
      <c r="N673" s="584" t="s">
        <v>100</v>
      </c>
      <c r="O673" s="584" t="s">
        <v>1638</v>
      </c>
      <c r="P673" s="586" t="s">
        <v>100</v>
      </c>
    </row>
    <row r="674" spans="1:16" ht="15">
      <c r="A674" s="591">
        <v>44931</v>
      </c>
      <c r="B674" s="580" t="s">
        <v>1691</v>
      </c>
      <c r="C674" s="580" t="s">
        <v>457</v>
      </c>
      <c r="D674" s="580" t="s">
        <v>1690</v>
      </c>
      <c r="E674" s="580" t="s">
        <v>100</v>
      </c>
      <c r="F674" s="580" t="s">
        <v>61</v>
      </c>
      <c r="G674" s="581">
        <v>41.42</v>
      </c>
      <c r="H674" s="580" t="s">
        <v>1641</v>
      </c>
      <c r="I674" s="580" t="s">
        <v>980</v>
      </c>
      <c r="J674" s="581">
        <v>0</v>
      </c>
      <c r="K674" s="592">
        <v>44931</v>
      </c>
      <c r="L674" s="593">
        <v>1852613</v>
      </c>
      <c r="M674" s="580" t="s">
        <v>100</v>
      </c>
      <c r="N674" s="580" t="s">
        <v>100</v>
      </c>
      <c r="O674" s="580" t="s">
        <v>1638</v>
      </c>
      <c r="P674" s="582" t="s">
        <v>100</v>
      </c>
    </row>
    <row r="675" spans="1:16" ht="15">
      <c r="A675" s="594">
        <v>44931</v>
      </c>
      <c r="B675" s="584" t="s">
        <v>1689</v>
      </c>
      <c r="C675" s="584" t="s">
        <v>457</v>
      </c>
      <c r="D675" s="584" t="s">
        <v>1690</v>
      </c>
      <c r="E675" s="584" t="s">
        <v>100</v>
      </c>
      <c r="F675" s="584" t="s">
        <v>61</v>
      </c>
      <c r="G675" s="585">
        <v>42.42</v>
      </c>
      <c r="H675" s="584" t="s">
        <v>1641</v>
      </c>
      <c r="I675" s="584" t="s">
        <v>980</v>
      </c>
      <c r="J675" s="585">
        <v>0</v>
      </c>
      <c r="K675" s="595">
        <v>44931</v>
      </c>
      <c r="L675" s="596">
        <v>1845316</v>
      </c>
      <c r="M675" s="584" t="s">
        <v>100</v>
      </c>
      <c r="N675" s="584" t="s">
        <v>100</v>
      </c>
      <c r="O675" s="584" t="s">
        <v>1638</v>
      </c>
      <c r="P675" s="586" t="s">
        <v>100</v>
      </c>
    </row>
    <row r="676" spans="1:16" ht="15">
      <c r="A676" s="591">
        <v>44931</v>
      </c>
      <c r="B676" s="580" t="s">
        <v>1689</v>
      </c>
      <c r="C676" s="580" t="s">
        <v>457</v>
      </c>
      <c r="D676" s="580" t="s">
        <v>1685</v>
      </c>
      <c r="E676" s="580" t="s">
        <v>100</v>
      </c>
      <c r="F676" s="580" t="s">
        <v>61</v>
      </c>
      <c r="G676" s="581">
        <v>2761</v>
      </c>
      <c r="H676" s="580" t="s">
        <v>1641</v>
      </c>
      <c r="I676" s="580" t="s">
        <v>980</v>
      </c>
      <c r="J676" s="581">
        <v>0</v>
      </c>
      <c r="K676" s="592">
        <v>44931</v>
      </c>
      <c r="L676" s="593">
        <v>1845314</v>
      </c>
      <c r="M676" s="580" t="s">
        <v>100</v>
      </c>
      <c r="N676" s="580" t="s">
        <v>100</v>
      </c>
      <c r="O676" s="580" t="s">
        <v>1638</v>
      </c>
      <c r="P676" s="582" t="s">
        <v>100</v>
      </c>
    </row>
    <row r="677" spans="1:16" ht="15">
      <c r="A677" s="594">
        <v>44927</v>
      </c>
      <c r="B677" s="584" t="s">
        <v>1692</v>
      </c>
      <c r="C677" s="584" t="s">
        <v>457</v>
      </c>
      <c r="D677" s="584" t="s">
        <v>1693</v>
      </c>
      <c r="E677" s="584" t="s">
        <v>100</v>
      </c>
      <c r="F677" s="584" t="s">
        <v>61</v>
      </c>
      <c r="G677" s="585">
        <v>474.85</v>
      </c>
      <c r="H677" s="584" t="s">
        <v>1641</v>
      </c>
      <c r="I677" s="584" t="s">
        <v>931</v>
      </c>
      <c r="J677" s="585">
        <v>0</v>
      </c>
      <c r="K677" s="595">
        <v>44927</v>
      </c>
      <c r="L677" s="596">
        <v>1847591</v>
      </c>
      <c r="M677" s="584" t="s">
        <v>100</v>
      </c>
      <c r="N677" s="584" t="s">
        <v>100</v>
      </c>
      <c r="O677" s="584" t="s">
        <v>1638</v>
      </c>
      <c r="P677" s="586" t="s">
        <v>100</v>
      </c>
    </row>
    <row r="678" spans="1:16" ht="15">
      <c r="A678" s="591">
        <v>44927</v>
      </c>
      <c r="B678" s="580" t="s">
        <v>1694</v>
      </c>
      <c r="C678" s="580" t="s">
        <v>457</v>
      </c>
      <c r="D678" s="580" t="s">
        <v>1693</v>
      </c>
      <c r="E678" s="580" t="s">
        <v>100</v>
      </c>
      <c r="F678" s="580" t="s">
        <v>61</v>
      </c>
      <c r="G678" s="581">
        <v>474.85</v>
      </c>
      <c r="H678" s="580" t="s">
        <v>1641</v>
      </c>
      <c r="I678" s="580" t="s">
        <v>931</v>
      </c>
      <c r="J678" s="581">
        <v>0</v>
      </c>
      <c r="K678" s="592">
        <v>44927</v>
      </c>
      <c r="L678" s="593">
        <v>1847589</v>
      </c>
      <c r="M678" s="580" t="s">
        <v>100</v>
      </c>
      <c r="N678" s="580" t="s">
        <v>100</v>
      </c>
      <c r="O678" s="580" t="s">
        <v>1638</v>
      </c>
      <c r="P678" s="582" t="s">
        <v>100</v>
      </c>
    </row>
    <row r="679" spans="1:16" ht="15">
      <c r="A679" s="594">
        <v>44927</v>
      </c>
      <c r="B679" s="584" t="s">
        <v>1695</v>
      </c>
      <c r="C679" s="584" t="s">
        <v>457</v>
      </c>
      <c r="D679" s="584" t="s">
        <v>1696</v>
      </c>
      <c r="E679" s="584" t="s">
        <v>100</v>
      </c>
      <c r="F679" s="584" t="s">
        <v>61</v>
      </c>
      <c r="G679" s="585">
        <v>506.38</v>
      </c>
      <c r="H679" s="584" t="s">
        <v>1641</v>
      </c>
      <c r="I679" s="584" t="s">
        <v>931</v>
      </c>
      <c r="J679" s="585">
        <v>0</v>
      </c>
      <c r="K679" s="595">
        <v>44927</v>
      </c>
      <c r="L679" s="596">
        <v>1847583</v>
      </c>
      <c r="M679" s="584" t="s">
        <v>100</v>
      </c>
      <c r="N679" s="584" t="s">
        <v>100</v>
      </c>
      <c r="O679" s="584" t="s">
        <v>1638</v>
      </c>
      <c r="P679" s="586" t="s">
        <v>100</v>
      </c>
    </row>
    <row r="680" spans="1:16" ht="15">
      <c r="A680" s="591">
        <v>44954</v>
      </c>
      <c r="B680" s="580" t="s">
        <v>1697</v>
      </c>
      <c r="C680" s="580" t="s">
        <v>447</v>
      </c>
      <c r="D680" s="580" t="s">
        <v>1698</v>
      </c>
      <c r="E680" s="580" t="s">
        <v>100</v>
      </c>
      <c r="F680" s="580" t="s">
        <v>61</v>
      </c>
      <c r="G680" s="581">
        <v>38037.5</v>
      </c>
      <c r="H680" s="580" t="s">
        <v>1641</v>
      </c>
      <c r="I680" s="580" t="s">
        <v>100</v>
      </c>
      <c r="J680" s="581">
        <v>0</v>
      </c>
      <c r="K680" s="592">
        <v>44954</v>
      </c>
      <c r="L680" s="593">
        <v>1847989</v>
      </c>
      <c r="M680" s="580" t="s">
        <v>1699</v>
      </c>
      <c r="N680" s="580" t="s">
        <v>100</v>
      </c>
      <c r="O680" s="580" t="s">
        <v>1646</v>
      </c>
      <c r="P680" s="582" t="s">
        <v>100</v>
      </c>
    </row>
    <row r="681" spans="1:16" ht="15">
      <c r="A681" s="594">
        <v>44957</v>
      </c>
      <c r="B681" s="584" t="s">
        <v>1700</v>
      </c>
      <c r="C681" s="584" t="s">
        <v>443</v>
      </c>
      <c r="D681" s="584" t="s">
        <v>1660</v>
      </c>
      <c r="E681" s="584" t="s">
        <v>100</v>
      </c>
      <c r="F681" s="584" t="s">
        <v>61</v>
      </c>
      <c r="G681" s="585">
        <v>25875</v>
      </c>
      <c r="H681" s="584" t="s">
        <v>1641</v>
      </c>
      <c r="I681" s="584" t="s">
        <v>100</v>
      </c>
      <c r="J681" s="585">
        <v>0</v>
      </c>
      <c r="K681" s="595">
        <v>44957</v>
      </c>
      <c r="L681" s="596">
        <v>1848351</v>
      </c>
      <c r="M681" s="584" t="s">
        <v>1701</v>
      </c>
      <c r="N681" s="584" t="s">
        <v>100</v>
      </c>
      <c r="O681" s="584" t="s">
        <v>1646</v>
      </c>
      <c r="P681" s="586" t="s">
        <v>100</v>
      </c>
    </row>
    <row r="682" spans="1:16" ht="15">
      <c r="A682" s="594"/>
      <c r="B682" s="584"/>
      <c r="C682" s="584"/>
      <c r="D682" s="584"/>
      <c r="E682" s="584"/>
      <c r="F682" s="584"/>
      <c r="G682" s="585">
        <f>SUM(G657:G681)</f>
        <v>77380.39</v>
      </c>
      <c r="H682" s="584"/>
      <c r="I682" s="584"/>
      <c r="J682" s="585"/>
      <c r="K682" s="595"/>
      <c r="L682" s="596"/>
      <c r="M682" s="584"/>
      <c r="N682" s="584"/>
      <c r="O682" s="584"/>
      <c r="P682" s="586"/>
    </row>
    <row r="683" spans="1:16" ht="15">
      <c r="A683" s="594"/>
      <c r="B683" s="584"/>
      <c r="C683" s="584"/>
      <c r="D683" s="584"/>
      <c r="E683" s="584"/>
      <c r="F683" s="584"/>
      <c r="G683" s="585"/>
      <c r="H683" s="584"/>
      <c r="I683" s="584"/>
      <c r="J683" s="585"/>
      <c r="K683" s="595"/>
      <c r="L683" s="596"/>
      <c r="M683" s="584"/>
      <c r="N683" s="584"/>
      <c r="O683" s="584"/>
      <c r="P683" s="586"/>
    </row>
    <row r="684" spans="1:16" ht="15">
      <c r="A684" s="591">
        <v>44972</v>
      </c>
      <c r="B684" s="580" t="s">
        <v>1702</v>
      </c>
      <c r="C684" s="580" t="s">
        <v>451</v>
      </c>
      <c r="D684" s="580" t="s">
        <v>1703</v>
      </c>
      <c r="E684" s="580" t="s">
        <v>100</v>
      </c>
      <c r="F684" s="580" t="s">
        <v>1704</v>
      </c>
      <c r="G684" s="581">
        <v>21815.8</v>
      </c>
      <c r="H684" s="580" t="s">
        <v>1641</v>
      </c>
      <c r="I684" s="580" t="s">
        <v>100</v>
      </c>
      <c r="J684" s="581">
        <v>0</v>
      </c>
      <c r="K684" s="592">
        <v>44972</v>
      </c>
      <c r="L684" s="593">
        <v>1850131</v>
      </c>
      <c r="M684" s="580" t="s">
        <v>1705</v>
      </c>
      <c r="N684" s="580" t="s">
        <v>100</v>
      </c>
      <c r="O684" s="580" t="s">
        <v>1646</v>
      </c>
      <c r="P684" s="582" t="s">
        <v>100</v>
      </c>
    </row>
    <row r="685" spans="1:16" ht="15">
      <c r="A685" s="594">
        <v>44972</v>
      </c>
      <c r="B685" s="584" t="s">
        <v>1706</v>
      </c>
      <c r="C685" s="584" t="s">
        <v>451</v>
      </c>
      <c r="D685" s="584" t="s">
        <v>1703</v>
      </c>
      <c r="E685" s="584" t="s">
        <v>100</v>
      </c>
      <c r="F685" s="584" t="s">
        <v>1704</v>
      </c>
      <c r="G685" s="585">
        <v>47797.94</v>
      </c>
      <c r="H685" s="584" t="s">
        <v>1641</v>
      </c>
      <c r="I685" s="584" t="s">
        <v>100</v>
      </c>
      <c r="J685" s="585">
        <v>0</v>
      </c>
      <c r="K685" s="595">
        <v>44972</v>
      </c>
      <c r="L685" s="596">
        <v>1850129</v>
      </c>
      <c r="M685" s="584" t="s">
        <v>1707</v>
      </c>
      <c r="N685" s="584" t="s">
        <v>100</v>
      </c>
      <c r="O685" s="584" t="s">
        <v>1646</v>
      </c>
      <c r="P685" s="586" t="s">
        <v>100</v>
      </c>
    </row>
    <row r="686" spans="1:16" ht="15">
      <c r="A686" s="591">
        <v>44953</v>
      </c>
      <c r="B686" s="580" t="s">
        <v>1708</v>
      </c>
      <c r="C686" s="580" t="s">
        <v>447</v>
      </c>
      <c r="D686" s="580" t="s">
        <v>1709</v>
      </c>
      <c r="E686" s="580" t="s">
        <v>100</v>
      </c>
      <c r="F686" s="580" t="s">
        <v>1704</v>
      </c>
      <c r="G686" s="581">
        <v>47453.75</v>
      </c>
      <c r="H686" s="580" t="s">
        <v>1641</v>
      </c>
      <c r="I686" s="580" t="s">
        <v>100</v>
      </c>
      <c r="J686" s="581">
        <v>0</v>
      </c>
      <c r="K686" s="592">
        <v>44953</v>
      </c>
      <c r="L686" s="593">
        <v>1848263</v>
      </c>
      <c r="M686" s="580" t="s">
        <v>1710</v>
      </c>
      <c r="N686" s="580" t="s">
        <v>100</v>
      </c>
      <c r="O686" s="580" t="s">
        <v>1646</v>
      </c>
      <c r="P686" s="582" t="s">
        <v>100</v>
      </c>
    </row>
    <row r="687" spans="1:16" ht="15">
      <c r="A687" s="594">
        <v>44957</v>
      </c>
      <c r="B687" s="584" t="s">
        <v>1711</v>
      </c>
      <c r="C687" s="584" t="s">
        <v>443</v>
      </c>
      <c r="D687" s="584" t="s">
        <v>1660</v>
      </c>
      <c r="E687" s="584" t="s">
        <v>100</v>
      </c>
      <c r="F687" s="584" t="s">
        <v>1704</v>
      </c>
      <c r="G687" s="585">
        <v>34000</v>
      </c>
      <c r="H687" s="584" t="s">
        <v>1641</v>
      </c>
      <c r="I687" s="584" t="s">
        <v>100</v>
      </c>
      <c r="J687" s="585">
        <v>0</v>
      </c>
      <c r="K687" s="595">
        <v>44957</v>
      </c>
      <c r="L687" s="596">
        <v>1848269</v>
      </c>
      <c r="M687" s="584" t="s">
        <v>1712</v>
      </c>
      <c r="N687" s="584" t="s">
        <v>100</v>
      </c>
      <c r="O687" s="584" t="s">
        <v>1646</v>
      </c>
      <c r="P687" s="586" t="s">
        <v>100</v>
      </c>
    </row>
    <row r="688" spans="1:16" ht="15">
      <c r="A688" s="594"/>
      <c r="B688" s="584"/>
      <c r="C688" s="584"/>
      <c r="D688" s="584"/>
      <c r="E688" s="584"/>
      <c r="F688" s="584"/>
      <c r="G688" s="585">
        <f>SUM(G684:G687)</f>
        <v>151067.49</v>
      </c>
      <c r="H688" s="584"/>
      <c r="I688" s="584"/>
      <c r="J688" s="585"/>
      <c r="K688" s="595"/>
      <c r="L688" s="596"/>
      <c r="M688" s="584"/>
      <c r="N688" s="584"/>
      <c r="O688" s="584"/>
      <c r="P688" s="586"/>
    </row>
    <row r="689" spans="1:16" ht="15">
      <c r="A689" s="594"/>
      <c r="B689" s="584"/>
      <c r="C689" s="584"/>
      <c r="D689" s="584"/>
      <c r="E689" s="584"/>
      <c r="F689" s="584"/>
      <c r="G689" s="585"/>
      <c r="H689" s="584"/>
      <c r="I689" s="584"/>
      <c r="J689" s="585"/>
      <c r="K689" s="595"/>
      <c r="L689" s="596"/>
      <c r="M689" s="584"/>
      <c r="N689" s="584"/>
      <c r="O689" s="584"/>
      <c r="P689" s="586"/>
    </row>
    <row r="690" spans="1:16" ht="15">
      <c r="A690" s="591">
        <v>44993</v>
      </c>
      <c r="B690" s="580" t="s">
        <v>1713</v>
      </c>
      <c r="C690" s="580" t="s">
        <v>430</v>
      </c>
      <c r="D690" s="580" t="s">
        <v>1714</v>
      </c>
      <c r="E690" s="580" t="s">
        <v>100</v>
      </c>
      <c r="F690" s="580" t="s">
        <v>436</v>
      </c>
      <c r="G690" s="581">
        <v>400</v>
      </c>
      <c r="H690" s="580" t="s">
        <v>1715</v>
      </c>
      <c r="I690" s="580" t="s">
        <v>1716</v>
      </c>
      <c r="J690" s="581">
        <v>0</v>
      </c>
      <c r="K690" s="592">
        <v>44993</v>
      </c>
      <c r="L690" s="593">
        <v>1850446</v>
      </c>
      <c r="M690" s="580" t="s">
        <v>100</v>
      </c>
      <c r="N690" s="580" t="s">
        <v>100</v>
      </c>
      <c r="O690" s="580" t="s">
        <v>1638</v>
      </c>
      <c r="P690" s="582" t="s">
        <v>100</v>
      </c>
    </row>
    <row r="691" spans="1:16" ht="15">
      <c r="A691" s="594">
        <v>44993</v>
      </c>
      <c r="B691" s="584" t="s">
        <v>1713</v>
      </c>
      <c r="C691" s="584" t="s">
        <v>430</v>
      </c>
      <c r="D691" s="584" t="s">
        <v>1717</v>
      </c>
      <c r="E691" s="584" t="s">
        <v>100</v>
      </c>
      <c r="F691" s="584" t="s">
        <v>436</v>
      </c>
      <c r="G691" s="585">
        <v>400</v>
      </c>
      <c r="H691" s="584" t="s">
        <v>1715</v>
      </c>
      <c r="I691" s="584" t="s">
        <v>1716</v>
      </c>
      <c r="J691" s="585">
        <v>0</v>
      </c>
      <c r="K691" s="595">
        <v>44993</v>
      </c>
      <c r="L691" s="596">
        <v>1850444</v>
      </c>
      <c r="M691" s="584" t="s">
        <v>100</v>
      </c>
      <c r="N691" s="584" t="s">
        <v>100</v>
      </c>
      <c r="O691" s="584" t="s">
        <v>1638</v>
      </c>
      <c r="P691" s="586" t="s">
        <v>100</v>
      </c>
    </row>
    <row r="692" spans="1:16" ht="15">
      <c r="A692" s="591">
        <v>44978</v>
      </c>
      <c r="B692" s="580" t="s">
        <v>1718</v>
      </c>
      <c r="C692" s="580" t="s">
        <v>430</v>
      </c>
      <c r="D692" s="580" t="s">
        <v>1719</v>
      </c>
      <c r="E692" s="580" t="s">
        <v>100</v>
      </c>
      <c r="F692" s="580" t="s">
        <v>436</v>
      </c>
      <c r="G692" s="581">
        <v>400</v>
      </c>
      <c r="H692" s="580" t="s">
        <v>1641</v>
      </c>
      <c r="I692" s="580" t="s">
        <v>100</v>
      </c>
      <c r="J692" s="581">
        <v>0</v>
      </c>
      <c r="K692" s="592">
        <v>44978</v>
      </c>
      <c r="L692" s="593">
        <v>1848463</v>
      </c>
      <c r="M692" s="580" t="s">
        <v>100</v>
      </c>
      <c r="N692" s="580" t="s">
        <v>100</v>
      </c>
      <c r="O692" s="580" t="s">
        <v>1646</v>
      </c>
      <c r="P692" s="582" t="s">
        <v>100</v>
      </c>
    </row>
    <row r="693" spans="1:16" ht="15">
      <c r="A693" s="594">
        <v>44952</v>
      </c>
      <c r="B693" s="584" t="s">
        <v>1720</v>
      </c>
      <c r="C693" s="584" t="s">
        <v>430</v>
      </c>
      <c r="D693" s="584" t="s">
        <v>1721</v>
      </c>
      <c r="E693" s="584" t="s">
        <v>100</v>
      </c>
      <c r="F693" s="584" t="s">
        <v>436</v>
      </c>
      <c r="G693" s="585">
        <v>105628</v>
      </c>
      <c r="H693" s="584" t="s">
        <v>1641</v>
      </c>
      <c r="I693" s="584" t="s">
        <v>923</v>
      </c>
      <c r="J693" s="585">
        <v>0</v>
      </c>
      <c r="K693" s="595">
        <v>44952</v>
      </c>
      <c r="L693" s="596">
        <v>1848329</v>
      </c>
      <c r="M693" s="584" t="s">
        <v>100</v>
      </c>
      <c r="N693" s="584" t="s">
        <v>100</v>
      </c>
      <c r="O693" s="584" t="s">
        <v>1638</v>
      </c>
      <c r="P693" s="586" t="s">
        <v>100</v>
      </c>
    </row>
    <row r="694" spans="1:16" ht="15">
      <c r="A694" s="591">
        <v>44952</v>
      </c>
      <c r="B694" s="580" t="s">
        <v>1722</v>
      </c>
      <c r="C694" s="580" t="s">
        <v>430</v>
      </c>
      <c r="D694" s="580" t="s">
        <v>1723</v>
      </c>
      <c r="E694" s="580" t="s">
        <v>100</v>
      </c>
      <c r="F694" s="580" t="s">
        <v>436</v>
      </c>
      <c r="G694" s="581">
        <v>-400</v>
      </c>
      <c r="H694" s="580" t="s">
        <v>1641</v>
      </c>
      <c r="I694" s="580" t="s">
        <v>100</v>
      </c>
      <c r="J694" s="581">
        <v>0</v>
      </c>
      <c r="K694" s="592">
        <v>44952</v>
      </c>
      <c r="L694" s="593">
        <v>1846865</v>
      </c>
      <c r="M694" s="580" t="s">
        <v>100</v>
      </c>
      <c r="N694" s="580" t="s">
        <v>100</v>
      </c>
      <c r="O694" s="580" t="s">
        <v>1646</v>
      </c>
      <c r="P694" s="582" t="s">
        <v>100</v>
      </c>
    </row>
    <row r="695" spans="1:16" ht="15">
      <c r="A695" s="594">
        <v>44952</v>
      </c>
      <c r="B695" s="584" t="s">
        <v>1724</v>
      </c>
      <c r="C695" s="584" t="s">
        <v>430</v>
      </c>
      <c r="D695" s="584" t="s">
        <v>1723</v>
      </c>
      <c r="E695" s="584" t="s">
        <v>100</v>
      </c>
      <c r="F695" s="584" t="s">
        <v>436</v>
      </c>
      <c r="G695" s="585">
        <v>-400</v>
      </c>
      <c r="H695" s="584" t="s">
        <v>1641</v>
      </c>
      <c r="I695" s="584" t="s">
        <v>100</v>
      </c>
      <c r="J695" s="585">
        <v>0</v>
      </c>
      <c r="K695" s="595">
        <v>44952</v>
      </c>
      <c r="L695" s="596">
        <v>1846863</v>
      </c>
      <c r="M695" s="584" t="s">
        <v>100</v>
      </c>
      <c r="N695" s="584" t="s">
        <v>100</v>
      </c>
      <c r="O695" s="584" t="s">
        <v>1646</v>
      </c>
      <c r="P695" s="586" t="s">
        <v>100</v>
      </c>
    </row>
    <row r="696" spans="1:16" ht="15">
      <c r="A696" s="591">
        <v>44952</v>
      </c>
      <c r="B696" s="580" t="s">
        <v>1725</v>
      </c>
      <c r="C696" s="580" t="s">
        <v>430</v>
      </c>
      <c r="D696" s="580" t="s">
        <v>1723</v>
      </c>
      <c r="E696" s="580" t="s">
        <v>100</v>
      </c>
      <c r="F696" s="580" t="s">
        <v>436</v>
      </c>
      <c r="G696" s="581">
        <v>-400</v>
      </c>
      <c r="H696" s="580" t="s">
        <v>1641</v>
      </c>
      <c r="I696" s="580" t="s">
        <v>100</v>
      </c>
      <c r="J696" s="581">
        <v>0</v>
      </c>
      <c r="K696" s="592">
        <v>44952</v>
      </c>
      <c r="L696" s="593">
        <v>1846861</v>
      </c>
      <c r="M696" s="580" t="s">
        <v>100</v>
      </c>
      <c r="N696" s="580" t="s">
        <v>100</v>
      </c>
      <c r="O696" s="580" t="s">
        <v>1646</v>
      </c>
      <c r="P696" s="582" t="s">
        <v>100</v>
      </c>
    </row>
    <row r="697" spans="1:16" ht="15">
      <c r="A697" s="594">
        <v>44952</v>
      </c>
      <c r="B697" s="584" t="s">
        <v>1726</v>
      </c>
      <c r="C697" s="584" t="s">
        <v>430</v>
      </c>
      <c r="D697" s="584" t="s">
        <v>1723</v>
      </c>
      <c r="E697" s="584" t="s">
        <v>100</v>
      </c>
      <c r="F697" s="584" t="s">
        <v>436</v>
      </c>
      <c r="G697" s="585">
        <v>-400</v>
      </c>
      <c r="H697" s="584" t="s">
        <v>1641</v>
      </c>
      <c r="I697" s="584" t="s">
        <v>100</v>
      </c>
      <c r="J697" s="585">
        <v>0</v>
      </c>
      <c r="K697" s="595">
        <v>44952</v>
      </c>
      <c r="L697" s="596">
        <v>1846859</v>
      </c>
      <c r="M697" s="584" t="s">
        <v>100</v>
      </c>
      <c r="N697" s="584" t="s">
        <v>100</v>
      </c>
      <c r="O697" s="584" t="s">
        <v>1646</v>
      </c>
      <c r="P697" s="586" t="s">
        <v>100</v>
      </c>
    </row>
    <row r="698" spans="1:16" ht="15">
      <c r="A698" s="591">
        <v>44952</v>
      </c>
      <c r="B698" s="580" t="s">
        <v>1727</v>
      </c>
      <c r="C698" s="580" t="s">
        <v>430</v>
      </c>
      <c r="D698" s="580" t="s">
        <v>1723</v>
      </c>
      <c r="E698" s="580" t="s">
        <v>100</v>
      </c>
      <c r="F698" s="580" t="s">
        <v>436</v>
      </c>
      <c r="G698" s="581">
        <v>-400</v>
      </c>
      <c r="H698" s="580" t="s">
        <v>1641</v>
      </c>
      <c r="I698" s="580" t="s">
        <v>100</v>
      </c>
      <c r="J698" s="581">
        <v>0</v>
      </c>
      <c r="K698" s="592">
        <v>44952</v>
      </c>
      <c r="L698" s="593">
        <v>1846857</v>
      </c>
      <c r="M698" s="580" t="s">
        <v>100</v>
      </c>
      <c r="N698" s="580" t="s">
        <v>100</v>
      </c>
      <c r="O698" s="580" t="s">
        <v>1646</v>
      </c>
      <c r="P698" s="582" t="s">
        <v>100</v>
      </c>
    </row>
    <row r="699" spans="1:16" ht="15">
      <c r="A699" s="594">
        <v>44952</v>
      </c>
      <c r="B699" s="584" t="s">
        <v>1728</v>
      </c>
      <c r="C699" s="584" t="s">
        <v>430</v>
      </c>
      <c r="D699" s="584" t="s">
        <v>1723</v>
      </c>
      <c r="E699" s="584" t="s">
        <v>100</v>
      </c>
      <c r="F699" s="584" t="s">
        <v>436</v>
      </c>
      <c r="G699" s="585">
        <v>-400</v>
      </c>
      <c r="H699" s="584" t="s">
        <v>1641</v>
      </c>
      <c r="I699" s="584" t="s">
        <v>100</v>
      </c>
      <c r="J699" s="585">
        <v>0</v>
      </c>
      <c r="K699" s="595">
        <v>44952</v>
      </c>
      <c r="L699" s="596">
        <v>1846855</v>
      </c>
      <c r="M699" s="584" t="s">
        <v>100</v>
      </c>
      <c r="N699" s="584" t="s">
        <v>100</v>
      </c>
      <c r="O699" s="584" t="s">
        <v>1646</v>
      </c>
      <c r="P699" s="586" t="s">
        <v>100</v>
      </c>
    </row>
    <row r="700" spans="1:16" ht="15">
      <c r="A700" s="591">
        <v>44952</v>
      </c>
      <c r="B700" s="580" t="s">
        <v>1729</v>
      </c>
      <c r="C700" s="580" t="s">
        <v>430</v>
      </c>
      <c r="D700" s="580" t="s">
        <v>1723</v>
      </c>
      <c r="E700" s="580" t="s">
        <v>100</v>
      </c>
      <c r="F700" s="580" t="s">
        <v>436</v>
      </c>
      <c r="G700" s="581">
        <v>-400</v>
      </c>
      <c r="H700" s="580" t="s">
        <v>1641</v>
      </c>
      <c r="I700" s="580" t="s">
        <v>100</v>
      </c>
      <c r="J700" s="581">
        <v>0</v>
      </c>
      <c r="K700" s="592">
        <v>44952</v>
      </c>
      <c r="L700" s="593">
        <v>1846853</v>
      </c>
      <c r="M700" s="580" t="s">
        <v>100</v>
      </c>
      <c r="N700" s="580" t="s">
        <v>100</v>
      </c>
      <c r="O700" s="580" t="s">
        <v>1646</v>
      </c>
      <c r="P700" s="582" t="s">
        <v>100</v>
      </c>
    </row>
    <row r="701" spans="1:16" ht="15">
      <c r="A701" s="594">
        <v>44952</v>
      </c>
      <c r="B701" s="584" t="s">
        <v>1730</v>
      </c>
      <c r="C701" s="584" t="s">
        <v>430</v>
      </c>
      <c r="D701" s="584" t="s">
        <v>1723</v>
      </c>
      <c r="E701" s="584" t="s">
        <v>100</v>
      </c>
      <c r="F701" s="584" t="s">
        <v>436</v>
      </c>
      <c r="G701" s="585">
        <v>-400</v>
      </c>
      <c r="H701" s="584" t="s">
        <v>1641</v>
      </c>
      <c r="I701" s="584" t="s">
        <v>100</v>
      </c>
      <c r="J701" s="585">
        <v>0</v>
      </c>
      <c r="K701" s="595">
        <v>44952</v>
      </c>
      <c r="L701" s="596">
        <v>1846851</v>
      </c>
      <c r="M701" s="584" t="s">
        <v>100</v>
      </c>
      <c r="N701" s="584" t="s">
        <v>100</v>
      </c>
      <c r="O701" s="584" t="s">
        <v>1646</v>
      </c>
      <c r="P701" s="586" t="s">
        <v>100</v>
      </c>
    </row>
    <row r="702" spans="1:16" ht="15">
      <c r="A702" s="591">
        <v>44952</v>
      </c>
      <c r="B702" s="580" t="s">
        <v>1731</v>
      </c>
      <c r="C702" s="580" t="s">
        <v>430</v>
      </c>
      <c r="D702" s="580" t="s">
        <v>1723</v>
      </c>
      <c r="E702" s="580" t="s">
        <v>100</v>
      </c>
      <c r="F702" s="580" t="s">
        <v>436</v>
      </c>
      <c r="G702" s="581">
        <v>-400</v>
      </c>
      <c r="H702" s="580" t="s">
        <v>1641</v>
      </c>
      <c r="I702" s="580" t="s">
        <v>100</v>
      </c>
      <c r="J702" s="581">
        <v>0</v>
      </c>
      <c r="K702" s="592">
        <v>44952</v>
      </c>
      <c r="L702" s="593">
        <v>1846849</v>
      </c>
      <c r="M702" s="580" t="s">
        <v>100</v>
      </c>
      <c r="N702" s="580" t="s">
        <v>100</v>
      </c>
      <c r="O702" s="580" t="s">
        <v>1646</v>
      </c>
      <c r="P702" s="582" t="s">
        <v>100</v>
      </c>
    </row>
    <row r="703" spans="1:16" ht="15">
      <c r="A703" s="594">
        <v>44952</v>
      </c>
      <c r="B703" s="584" t="s">
        <v>1732</v>
      </c>
      <c r="C703" s="584" t="s">
        <v>430</v>
      </c>
      <c r="D703" s="584" t="s">
        <v>1723</v>
      </c>
      <c r="E703" s="584" t="s">
        <v>100</v>
      </c>
      <c r="F703" s="584" t="s">
        <v>436</v>
      </c>
      <c r="G703" s="585">
        <v>-400</v>
      </c>
      <c r="H703" s="584" t="s">
        <v>1641</v>
      </c>
      <c r="I703" s="584" t="s">
        <v>100</v>
      </c>
      <c r="J703" s="585">
        <v>0</v>
      </c>
      <c r="K703" s="595">
        <v>44952</v>
      </c>
      <c r="L703" s="596">
        <v>1846847</v>
      </c>
      <c r="M703" s="584" t="s">
        <v>100</v>
      </c>
      <c r="N703" s="584" t="s">
        <v>100</v>
      </c>
      <c r="O703" s="584" t="s">
        <v>1646</v>
      </c>
      <c r="P703" s="586" t="s">
        <v>100</v>
      </c>
    </row>
    <row r="704" spans="1:16" ht="15">
      <c r="A704" s="591">
        <v>44952</v>
      </c>
      <c r="B704" s="580" t="s">
        <v>1733</v>
      </c>
      <c r="C704" s="580" t="s">
        <v>430</v>
      </c>
      <c r="D704" s="580" t="s">
        <v>1723</v>
      </c>
      <c r="E704" s="580" t="s">
        <v>100</v>
      </c>
      <c r="F704" s="580" t="s">
        <v>436</v>
      </c>
      <c r="G704" s="581">
        <v>-400</v>
      </c>
      <c r="H704" s="580" t="s">
        <v>1641</v>
      </c>
      <c r="I704" s="580" t="s">
        <v>100</v>
      </c>
      <c r="J704" s="581">
        <v>0</v>
      </c>
      <c r="K704" s="592">
        <v>44952</v>
      </c>
      <c r="L704" s="593">
        <v>1846845</v>
      </c>
      <c r="M704" s="580" t="s">
        <v>100</v>
      </c>
      <c r="N704" s="580" t="s">
        <v>100</v>
      </c>
      <c r="O704" s="580" t="s">
        <v>1646</v>
      </c>
      <c r="P704" s="582" t="s">
        <v>100</v>
      </c>
    </row>
    <row r="705" spans="1:16" ht="15">
      <c r="A705" s="594">
        <v>44952</v>
      </c>
      <c r="B705" s="584" t="s">
        <v>1734</v>
      </c>
      <c r="C705" s="584" t="s">
        <v>430</v>
      </c>
      <c r="D705" s="584" t="s">
        <v>1723</v>
      </c>
      <c r="E705" s="584" t="s">
        <v>100</v>
      </c>
      <c r="F705" s="584" t="s">
        <v>436</v>
      </c>
      <c r="G705" s="585">
        <v>-400</v>
      </c>
      <c r="H705" s="584" t="s">
        <v>1641</v>
      </c>
      <c r="I705" s="584" t="s">
        <v>100</v>
      </c>
      <c r="J705" s="585">
        <v>0</v>
      </c>
      <c r="K705" s="595">
        <v>44952</v>
      </c>
      <c r="L705" s="596">
        <v>1846843</v>
      </c>
      <c r="M705" s="584" t="s">
        <v>100</v>
      </c>
      <c r="N705" s="584" t="s">
        <v>100</v>
      </c>
      <c r="O705" s="584" t="s">
        <v>1646</v>
      </c>
      <c r="P705" s="586" t="s">
        <v>100</v>
      </c>
    </row>
    <row r="706" spans="1:16" ht="15">
      <c r="A706" s="591">
        <v>44952</v>
      </c>
      <c r="B706" s="580" t="s">
        <v>1735</v>
      </c>
      <c r="C706" s="580" t="s">
        <v>430</v>
      </c>
      <c r="D706" s="580" t="s">
        <v>1723</v>
      </c>
      <c r="E706" s="580" t="s">
        <v>100</v>
      </c>
      <c r="F706" s="580" t="s">
        <v>436</v>
      </c>
      <c r="G706" s="581">
        <v>-400</v>
      </c>
      <c r="H706" s="580" t="s">
        <v>1641</v>
      </c>
      <c r="I706" s="580" t="s">
        <v>100</v>
      </c>
      <c r="J706" s="581">
        <v>0</v>
      </c>
      <c r="K706" s="592">
        <v>44952</v>
      </c>
      <c r="L706" s="593">
        <v>1846841</v>
      </c>
      <c r="M706" s="580" t="s">
        <v>100</v>
      </c>
      <c r="N706" s="580" t="s">
        <v>100</v>
      </c>
      <c r="O706" s="580" t="s">
        <v>1646</v>
      </c>
      <c r="P706" s="582" t="s">
        <v>100</v>
      </c>
    </row>
    <row r="707" spans="1:16" ht="15">
      <c r="A707" s="594">
        <v>44952</v>
      </c>
      <c r="B707" s="584" t="s">
        <v>1736</v>
      </c>
      <c r="C707" s="584" t="s">
        <v>430</v>
      </c>
      <c r="D707" s="584" t="s">
        <v>1737</v>
      </c>
      <c r="E707" s="584" t="s">
        <v>100</v>
      </c>
      <c r="F707" s="584" t="s">
        <v>436</v>
      </c>
      <c r="G707" s="585">
        <v>-14</v>
      </c>
      <c r="H707" s="584" t="s">
        <v>1641</v>
      </c>
      <c r="I707" s="584" t="s">
        <v>100</v>
      </c>
      <c r="J707" s="585">
        <v>0</v>
      </c>
      <c r="K707" s="595">
        <v>44952</v>
      </c>
      <c r="L707" s="596">
        <v>1846809</v>
      </c>
      <c r="M707" s="584" t="s">
        <v>100</v>
      </c>
      <c r="N707" s="584" t="s">
        <v>100</v>
      </c>
      <c r="O707" s="584" t="s">
        <v>1646</v>
      </c>
      <c r="P707" s="586" t="s">
        <v>100</v>
      </c>
    </row>
    <row r="708" spans="1:16" ht="15">
      <c r="A708" s="591">
        <v>44952</v>
      </c>
      <c r="B708" s="580" t="s">
        <v>1738</v>
      </c>
      <c r="C708" s="580" t="s">
        <v>430</v>
      </c>
      <c r="D708" s="580" t="s">
        <v>1737</v>
      </c>
      <c r="E708" s="580" t="s">
        <v>100</v>
      </c>
      <c r="F708" s="580" t="s">
        <v>436</v>
      </c>
      <c r="G708" s="581">
        <v>-46.5</v>
      </c>
      <c r="H708" s="580" t="s">
        <v>1641</v>
      </c>
      <c r="I708" s="580" t="s">
        <v>100</v>
      </c>
      <c r="J708" s="581">
        <v>0</v>
      </c>
      <c r="K708" s="592">
        <v>44952</v>
      </c>
      <c r="L708" s="593">
        <v>1846807</v>
      </c>
      <c r="M708" s="580" t="s">
        <v>100</v>
      </c>
      <c r="N708" s="580" t="s">
        <v>100</v>
      </c>
      <c r="O708" s="580" t="s">
        <v>1646</v>
      </c>
      <c r="P708" s="582" t="s">
        <v>100</v>
      </c>
    </row>
    <row r="709" spans="1:16" ht="15">
      <c r="A709" s="594">
        <v>44952</v>
      </c>
      <c r="B709" s="584" t="s">
        <v>1739</v>
      </c>
      <c r="C709" s="584" t="s">
        <v>430</v>
      </c>
      <c r="D709" s="584" t="s">
        <v>1737</v>
      </c>
      <c r="E709" s="584" t="s">
        <v>100</v>
      </c>
      <c r="F709" s="584" t="s">
        <v>436</v>
      </c>
      <c r="G709" s="585">
        <v>-66.75</v>
      </c>
      <c r="H709" s="584" t="s">
        <v>1641</v>
      </c>
      <c r="I709" s="584" t="s">
        <v>100</v>
      </c>
      <c r="J709" s="585">
        <v>0</v>
      </c>
      <c r="K709" s="595">
        <v>44952</v>
      </c>
      <c r="L709" s="596">
        <v>1846805</v>
      </c>
      <c r="M709" s="584" t="s">
        <v>100</v>
      </c>
      <c r="N709" s="584" t="s">
        <v>100</v>
      </c>
      <c r="O709" s="584" t="s">
        <v>1646</v>
      </c>
      <c r="P709" s="586" t="s">
        <v>100</v>
      </c>
    </row>
    <row r="710" spans="1:16" ht="15">
      <c r="A710" s="591">
        <v>44952</v>
      </c>
      <c r="B710" s="580" t="s">
        <v>1740</v>
      </c>
      <c r="C710" s="580" t="s">
        <v>430</v>
      </c>
      <c r="D710" s="580" t="s">
        <v>1737</v>
      </c>
      <c r="E710" s="580" t="s">
        <v>100</v>
      </c>
      <c r="F710" s="580" t="s">
        <v>436</v>
      </c>
      <c r="G710" s="581">
        <v>-304.5</v>
      </c>
      <c r="H710" s="580" t="s">
        <v>1641</v>
      </c>
      <c r="I710" s="580" t="s">
        <v>100</v>
      </c>
      <c r="J710" s="581">
        <v>0</v>
      </c>
      <c r="K710" s="592">
        <v>44952</v>
      </c>
      <c r="L710" s="593">
        <v>1846803</v>
      </c>
      <c r="M710" s="580" t="s">
        <v>100</v>
      </c>
      <c r="N710" s="580" t="s">
        <v>100</v>
      </c>
      <c r="O710" s="580" t="s">
        <v>1646</v>
      </c>
      <c r="P710" s="582" t="s">
        <v>100</v>
      </c>
    </row>
    <row r="711" spans="1:16" ht="15">
      <c r="A711" s="594">
        <v>44952</v>
      </c>
      <c r="B711" s="584" t="s">
        <v>1741</v>
      </c>
      <c r="C711" s="584" t="s">
        <v>430</v>
      </c>
      <c r="D711" s="584" t="s">
        <v>1737</v>
      </c>
      <c r="E711" s="584" t="s">
        <v>100</v>
      </c>
      <c r="F711" s="584" t="s">
        <v>436</v>
      </c>
      <c r="G711" s="585">
        <v>-755.75</v>
      </c>
      <c r="H711" s="584" t="s">
        <v>1641</v>
      </c>
      <c r="I711" s="584" t="s">
        <v>100</v>
      </c>
      <c r="J711" s="585">
        <v>0</v>
      </c>
      <c r="K711" s="595">
        <v>44952</v>
      </c>
      <c r="L711" s="596">
        <v>1846801</v>
      </c>
      <c r="M711" s="584" t="s">
        <v>100</v>
      </c>
      <c r="N711" s="584" t="s">
        <v>100</v>
      </c>
      <c r="O711" s="584" t="s">
        <v>1646</v>
      </c>
      <c r="P711" s="586" t="s">
        <v>100</v>
      </c>
    </row>
    <row r="712" spans="1:16" ht="15">
      <c r="A712" s="591">
        <v>44952</v>
      </c>
      <c r="B712" s="580" t="s">
        <v>1742</v>
      </c>
      <c r="C712" s="580" t="s">
        <v>430</v>
      </c>
      <c r="D712" s="580" t="s">
        <v>1737</v>
      </c>
      <c r="E712" s="580" t="s">
        <v>100</v>
      </c>
      <c r="F712" s="580" t="s">
        <v>436</v>
      </c>
      <c r="G712" s="581">
        <v>-24.5</v>
      </c>
      <c r="H712" s="580" t="s">
        <v>1641</v>
      </c>
      <c r="I712" s="580" t="s">
        <v>100</v>
      </c>
      <c r="J712" s="581">
        <v>0</v>
      </c>
      <c r="K712" s="592">
        <v>44952</v>
      </c>
      <c r="L712" s="593">
        <v>1846799</v>
      </c>
      <c r="M712" s="580" t="s">
        <v>100</v>
      </c>
      <c r="N712" s="580" t="s">
        <v>100</v>
      </c>
      <c r="O712" s="580" t="s">
        <v>1646</v>
      </c>
      <c r="P712" s="582" t="s">
        <v>100</v>
      </c>
    </row>
    <row r="713" spans="1:16" ht="15">
      <c r="A713" s="594">
        <v>44952</v>
      </c>
      <c r="B713" s="584" t="s">
        <v>1743</v>
      </c>
      <c r="C713" s="584" t="s">
        <v>430</v>
      </c>
      <c r="D713" s="584" t="s">
        <v>1737</v>
      </c>
      <c r="E713" s="584" t="s">
        <v>100</v>
      </c>
      <c r="F713" s="584" t="s">
        <v>436</v>
      </c>
      <c r="G713" s="585">
        <v>-25.25</v>
      </c>
      <c r="H713" s="584" t="s">
        <v>1641</v>
      </c>
      <c r="I713" s="584" t="s">
        <v>100</v>
      </c>
      <c r="J713" s="585">
        <v>0</v>
      </c>
      <c r="K713" s="595">
        <v>44952</v>
      </c>
      <c r="L713" s="596">
        <v>1846797</v>
      </c>
      <c r="M713" s="584" t="s">
        <v>100</v>
      </c>
      <c r="N713" s="584" t="s">
        <v>100</v>
      </c>
      <c r="O713" s="584" t="s">
        <v>1646</v>
      </c>
      <c r="P713" s="586" t="s">
        <v>100</v>
      </c>
    </row>
    <row r="714" spans="1:16" ht="15">
      <c r="A714" s="591">
        <v>44952</v>
      </c>
      <c r="B714" s="580" t="s">
        <v>1744</v>
      </c>
      <c r="C714" s="580" t="s">
        <v>430</v>
      </c>
      <c r="D714" s="580" t="s">
        <v>1737</v>
      </c>
      <c r="E714" s="580" t="s">
        <v>100</v>
      </c>
      <c r="F714" s="580" t="s">
        <v>436</v>
      </c>
      <c r="G714" s="581">
        <v>-830.5</v>
      </c>
      <c r="H714" s="580" t="s">
        <v>1641</v>
      </c>
      <c r="I714" s="580" t="s">
        <v>100</v>
      </c>
      <c r="J714" s="581">
        <v>0</v>
      </c>
      <c r="K714" s="592">
        <v>44952</v>
      </c>
      <c r="L714" s="593">
        <v>1846795</v>
      </c>
      <c r="M714" s="580" t="s">
        <v>100</v>
      </c>
      <c r="N714" s="580" t="s">
        <v>100</v>
      </c>
      <c r="O714" s="580" t="s">
        <v>1646</v>
      </c>
      <c r="P714" s="582" t="s">
        <v>100</v>
      </c>
    </row>
    <row r="715" spans="1:16" ht="15">
      <c r="A715" s="594">
        <v>44952</v>
      </c>
      <c r="B715" s="584" t="s">
        <v>1745</v>
      </c>
      <c r="C715" s="584" t="s">
        <v>430</v>
      </c>
      <c r="D715" s="584" t="s">
        <v>1737</v>
      </c>
      <c r="E715" s="584" t="s">
        <v>100</v>
      </c>
      <c r="F715" s="584" t="s">
        <v>436</v>
      </c>
      <c r="G715" s="585">
        <v>-14</v>
      </c>
      <c r="H715" s="584" t="s">
        <v>1641</v>
      </c>
      <c r="I715" s="584" t="s">
        <v>100</v>
      </c>
      <c r="J715" s="585">
        <v>0</v>
      </c>
      <c r="K715" s="595">
        <v>44952</v>
      </c>
      <c r="L715" s="596">
        <v>1846793</v>
      </c>
      <c r="M715" s="584" t="s">
        <v>100</v>
      </c>
      <c r="N715" s="584" t="s">
        <v>100</v>
      </c>
      <c r="O715" s="584" t="s">
        <v>1646</v>
      </c>
      <c r="P715" s="586" t="s">
        <v>100</v>
      </c>
    </row>
    <row r="716" spans="1:16" ht="15">
      <c r="A716" s="591">
        <v>44952</v>
      </c>
      <c r="B716" s="580" t="s">
        <v>1746</v>
      </c>
      <c r="C716" s="580" t="s">
        <v>430</v>
      </c>
      <c r="D716" s="580" t="s">
        <v>1737</v>
      </c>
      <c r="E716" s="580" t="s">
        <v>100</v>
      </c>
      <c r="F716" s="580" t="s">
        <v>436</v>
      </c>
      <c r="G716" s="581">
        <v>-333.5</v>
      </c>
      <c r="H716" s="580" t="s">
        <v>1641</v>
      </c>
      <c r="I716" s="580" t="s">
        <v>100</v>
      </c>
      <c r="J716" s="581">
        <v>0</v>
      </c>
      <c r="K716" s="592">
        <v>44952</v>
      </c>
      <c r="L716" s="593">
        <v>1846791</v>
      </c>
      <c r="M716" s="580" t="s">
        <v>100</v>
      </c>
      <c r="N716" s="580" t="s">
        <v>100</v>
      </c>
      <c r="O716" s="580" t="s">
        <v>1646</v>
      </c>
      <c r="P716" s="582" t="s">
        <v>100</v>
      </c>
    </row>
    <row r="717" spans="1:16" ht="15">
      <c r="A717" s="594">
        <v>44952</v>
      </c>
      <c r="B717" s="584" t="s">
        <v>1747</v>
      </c>
      <c r="C717" s="584" t="s">
        <v>430</v>
      </c>
      <c r="D717" s="584" t="s">
        <v>1737</v>
      </c>
      <c r="E717" s="584" t="s">
        <v>100</v>
      </c>
      <c r="F717" s="584" t="s">
        <v>436</v>
      </c>
      <c r="G717" s="585">
        <v>-7.75</v>
      </c>
      <c r="H717" s="584" t="s">
        <v>1641</v>
      </c>
      <c r="I717" s="584" t="s">
        <v>100</v>
      </c>
      <c r="J717" s="585">
        <v>0</v>
      </c>
      <c r="K717" s="595">
        <v>44952</v>
      </c>
      <c r="L717" s="596">
        <v>1846789</v>
      </c>
      <c r="M717" s="584" t="s">
        <v>100</v>
      </c>
      <c r="N717" s="584" t="s">
        <v>100</v>
      </c>
      <c r="O717" s="584" t="s">
        <v>1646</v>
      </c>
      <c r="P717" s="586" t="s">
        <v>100</v>
      </c>
    </row>
    <row r="718" spans="1:16" ht="15">
      <c r="A718" s="591">
        <v>44952</v>
      </c>
      <c r="B718" s="580" t="s">
        <v>1748</v>
      </c>
      <c r="C718" s="580" t="s">
        <v>430</v>
      </c>
      <c r="D718" s="580" t="s">
        <v>1737</v>
      </c>
      <c r="E718" s="580" t="s">
        <v>100</v>
      </c>
      <c r="F718" s="580" t="s">
        <v>436</v>
      </c>
      <c r="G718" s="581">
        <v>-4</v>
      </c>
      <c r="H718" s="580" t="s">
        <v>1641</v>
      </c>
      <c r="I718" s="580" t="s">
        <v>100</v>
      </c>
      <c r="J718" s="581">
        <v>0</v>
      </c>
      <c r="K718" s="592">
        <v>44952</v>
      </c>
      <c r="L718" s="593">
        <v>1846787</v>
      </c>
      <c r="M718" s="580" t="s">
        <v>100</v>
      </c>
      <c r="N718" s="580" t="s">
        <v>100</v>
      </c>
      <c r="O718" s="580" t="s">
        <v>1646</v>
      </c>
      <c r="P718" s="582" t="s">
        <v>100</v>
      </c>
    </row>
    <row r="719" spans="1:16" ht="15">
      <c r="A719" s="594">
        <v>44952</v>
      </c>
      <c r="B719" s="584" t="s">
        <v>1749</v>
      </c>
      <c r="C719" s="584" t="s">
        <v>430</v>
      </c>
      <c r="D719" s="584" t="s">
        <v>1737</v>
      </c>
      <c r="E719" s="584" t="s">
        <v>100</v>
      </c>
      <c r="F719" s="584" t="s">
        <v>436</v>
      </c>
      <c r="G719" s="585">
        <v>-543.5</v>
      </c>
      <c r="H719" s="584" t="s">
        <v>1641</v>
      </c>
      <c r="I719" s="584" t="s">
        <v>100</v>
      </c>
      <c r="J719" s="585">
        <v>0</v>
      </c>
      <c r="K719" s="595">
        <v>44952</v>
      </c>
      <c r="L719" s="596">
        <v>1846785</v>
      </c>
      <c r="M719" s="584" t="s">
        <v>100</v>
      </c>
      <c r="N719" s="584" t="s">
        <v>100</v>
      </c>
      <c r="O719" s="584" t="s">
        <v>1646</v>
      </c>
      <c r="P719" s="586" t="s">
        <v>100</v>
      </c>
    </row>
    <row r="720" spans="1:16" ht="15">
      <c r="A720" s="591">
        <v>44952</v>
      </c>
      <c r="B720" s="580" t="s">
        <v>1750</v>
      </c>
      <c r="C720" s="580" t="s">
        <v>430</v>
      </c>
      <c r="D720" s="580" t="s">
        <v>1737</v>
      </c>
      <c r="E720" s="580" t="s">
        <v>100</v>
      </c>
      <c r="F720" s="580" t="s">
        <v>436</v>
      </c>
      <c r="G720" s="581">
        <v>-13.5</v>
      </c>
      <c r="H720" s="580" t="s">
        <v>1641</v>
      </c>
      <c r="I720" s="580" t="s">
        <v>100</v>
      </c>
      <c r="J720" s="581">
        <v>0</v>
      </c>
      <c r="K720" s="592">
        <v>44952</v>
      </c>
      <c r="L720" s="593">
        <v>1846783</v>
      </c>
      <c r="M720" s="580" t="s">
        <v>100</v>
      </c>
      <c r="N720" s="580" t="s">
        <v>100</v>
      </c>
      <c r="O720" s="580" t="s">
        <v>1646</v>
      </c>
      <c r="P720" s="582" t="s">
        <v>100</v>
      </c>
    </row>
    <row r="721" spans="1:16" ht="15">
      <c r="A721" s="594">
        <v>44952</v>
      </c>
      <c r="B721" s="584" t="s">
        <v>1751</v>
      </c>
      <c r="C721" s="584" t="s">
        <v>430</v>
      </c>
      <c r="D721" s="584" t="s">
        <v>1737</v>
      </c>
      <c r="E721" s="584" t="s">
        <v>100</v>
      </c>
      <c r="F721" s="584" t="s">
        <v>436</v>
      </c>
      <c r="G721" s="585">
        <v>-126.5</v>
      </c>
      <c r="H721" s="584" t="s">
        <v>1641</v>
      </c>
      <c r="I721" s="584" t="s">
        <v>100</v>
      </c>
      <c r="J721" s="585">
        <v>0</v>
      </c>
      <c r="K721" s="595">
        <v>44952</v>
      </c>
      <c r="L721" s="596">
        <v>1846781</v>
      </c>
      <c r="M721" s="584" t="s">
        <v>100</v>
      </c>
      <c r="N721" s="584" t="s">
        <v>100</v>
      </c>
      <c r="O721" s="584" t="s">
        <v>1646</v>
      </c>
      <c r="P721" s="586" t="s">
        <v>100</v>
      </c>
    </row>
    <row r="722" spans="1:16" ht="15">
      <c r="A722" s="591">
        <v>44952</v>
      </c>
      <c r="B722" s="580" t="s">
        <v>1752</v>
      </c>
      <c r="C722" s="580" t="s">
        <v>430</v>
      </c>
      <c r="D722" s="580" t="s">
        <v>1737</v>
      </c>
      <c r="E722" s="580" t="s">
        <v>100</v>
      </c>
      <c r="F722" s="580" t="s">
        <v>436</v>
      </c>
      <c r="G722" s="581">
        <v>-34</v>
      </c>
      <c r="H722" s="580" t="s">
        <v>1641</v>
      </c>
      <c r="I722" s="580" t="s">
        <v>100</v>
      </c>
      <c r="J722" s="581">
        <v>0</v>
      </c>
      <c r="K722" s="592">
        <v>44952</v>
      </c>
      <c r="L722" s="593">
        <v>1846779</v>
      </c>
      <c r="M722" s="580" t="s">
        <v>100</v>
      </c>
      <c r="N722" s="580" t="s">
        <v>100</v>
      </c>
      <c r="O722" s="580" t="s">
        <v>1646</v>
      </c>
      <c r="P722" s="582" t="s">
        <v>100</v>
      </c>
    </row>
    <row r="723" spans="1:16" ht="15">
      <c r="A723" s="594">
        <v>44952</v>
      </c>
      <c r="B723" s="584" t="s">
        <v>1753</v>
      </c>
      <c r="C723" s="584" t="s">
        <v>430</v>
      </c>
      <c r="D723" s="584" t="s">
        <v>1737</v>
      </c>
      <c r="E723" s="584" t="s">
        <v>100</v>
      </c>
      <c r="F723" s="584" t="s">
        <v>436</v>
      </c>
      <c r="G723" s="585">
        <v>-352</v>
      </c>
      <c r="H723" s="584" t="s">
        <v>1641</v>
      </c>
      <c r="I723" s="584" t="s">
        <v>100</v>
      </c>
      <c r="J723" s="585">
        <v>0</v>
      </c>
      <c r="K723" s="595">
        <v>44952</v>
      </c>
      <c r="L723" s="596">
        <v>1846777</v>
      </c>
      <c r="M723" s="584" t="s">
        <v>100</v>
      </c>
      <c r="N723" s="584" t="s">
        <v>100</v>
      </c>
      <c r="O723" s="584" t="s">
        <v>1646</v>
      </c>
      <c r="P723" s="586" t="s">
        <v>100</v>
      </c>
    </row>
    <row r="724" spans="1:16" ht="15">
      <c r="A724" s="591">
        <v>44952</v>
      </c>
      <c r="B724" s="580" t="s">
        <v>1754</v>
      </c>
      <c r="C724" s="580" t="s">
        <v>430</v>
      </c>
      <c r="D724" s="580" t="s">
        <v>1737</v>
      </c>
      <c r="E724" s="580" t="s">
        <v>100</v>
      </c>
      <c r="F724" s="580" t="s">
        <v>436</v>
      </c>
      <c r="G724" s="581">
        <v>-7.5</v>
      </c>
      <c r="H724" s="580" t="s">
        <v>1641</v>
      </c>
      <c r="I724" s="580" t="s">
        <v>100</v>
      </c>
      <c r="J724" s="581">
        <v>0</v>
      </c>
      <c r="K724" s="592">
        <v>44952</v>
      </c>
      <c r="L724" s="593">
        <v>1846775</v>
      </c>
      <c r="M724" s="580" t="s">
        <v>100</v>
      </c>
      <c r="N724" s="580" t="s">
        <v>100</v>
      </c>
      <c r="O724" s="580" t="s">
        <v>1646</v>
      </c>
      <c r="P724" s="582" t="s">
        <v>100</v>
      </c>
    </row>
    <row r="725" spans="1:16" ht="15">
      <c r="A725" s="594">
        <v>44952</v>
      </c>
      <c r="B725" s="584" t="s">
        <v>1755</v>
      </c>
      <c r="C725" s="584" t="s">
        <v>430</v>
      </c>
      <c r="D725" s="584" t="s">
        <v>1737</v>
      </c>
      <c r="E725" s="584" t="s">
        <v>100</v>
      </c>
      <c r="F725" s="584" t="s">
        <v>436</v>
      </c>
      <c r="G725" s="585">
        <v>-402</v>
      </c>
      <c r="H725" s="584" t="s">
        <v>1641</v>
      </c>
      <c r="I725" s="584" t="s">
        <v>100</v>
      </c>
      <c r="J725" s="585">
        <v>0</v>
      </c>
      <c r="K725" s="595">
        <v>44952</v>
      </c>
      <c r="L725" s="596">
        <v>1846773</v>
      </c>
      <c r="M725" s="584" t="s">
        <v>100</v>
      </c>
      <c r="N725" s="584" t="s">
        <v>100</v>
      </c>
      <c r="O725" s="584" t="s">
        <v>1646</v>
      </c>
      <c r="P725" s="586" t="s">
        <v>100</v>
      </c>
    </row>
    <row r="726" spans="1:16" ht="15">
      <c r="A726" s="591">
        <v>44952</v>
      </c>
      <c r="B726" s="580" t="s">
        <v>1756</v>
      </c>
      <c r="C726" s="580" t="s">
        <v>430</v>
      </c>
      <c r="D726" s="580" t="s">
        <v>1737</v>
      </c>
      <c r="E726" s="580" t="s">
        <v>100</v>
      </c>
      <c r="F726" s="580" t="s">
        <v>436</v>
      </c>
      <c r="G726" s="581">
        <v>-216.5</v>
      </c>
      <c r="H726" s="580" t="s">
        <v>1641</v>
      </c>
      <c r="I726" s="580" t="s">
        <v>100</v>
      </c>
      <c r="J726" s="581">
        <v>0</v>
      </c>
      <c r="K726" s="592">
        <v>44952</v>
      </c>
      <c r="L726" s="593">
        <v>1846771</v>
      </c>
      <c r="M726" s="580" t="s">
        <v>100</v>
      </c>
      <c r="N726" s="580" t="s">
        <v>100</v>
      </c>
      <c r="O726" s="580" t="s">
        <v>1646</v>
      </c>
      <c r="P726" s="582" t="s">
        <v>100</v>
      </c>
    </row>
    <row r="727" spans="1:16" ht="15">
      <c r="A727" s="594">
        <v>44952</v>
      </c>
      <c r="B727" s="584" t="s">
        <v>1757</v>
      </c>
      <c r="C727" s="584" t="s">
        <v>430</v>
      </c>
      <c r="D727" s="584" t="s">
        <v>1737</v>
      </c>
      <c r="E727" s="584" t="s">
        <v>100</v>
      </c>
      <c r="F727" s="584" t="s">
        <v>436</v>
      </c>
      <c r="G727" s="585">
        <v>-75.5</v>
      </c>
      <c r="H727" s="584" t="s">
        <v>1641</v>
      </c>
      <c r="I727" s="584" t="s">
        <v>100</v>
      </c>
      <c r="J727" s="585">
        <v>0</v>
      </c>
      <c r="K727" s="595">
        <v>44952</v>
      </c>
      <c r="L727" s="596">
        <v>1846769</v>
      </c>
      <c r="M727" s="584" t="s">
        <v>100</v>
      </c>
      <c r="N727" s="584" t="s">
        <v>100</v>
      </c>
      <c r="O727" s="584" t="s">
        <v>1646</v>
      </c>
      <c r="P727" s="586" t="s">
        <v>100</v>
      </c>
    </row>
    <row r="728" spans="1:16" ht="15">
      <c r="A728" s="591">
        <v>44952</v>
      </c>
      <c r="B728" s="580" t="s">
        <v>1758</v>
      </c>
      <c r="C728" s="580" t="s">
        <v>430</v>
      </c>
      <c r="D728" s="580" t="s">
        <v>1737</v>
      </c>
      <c r="E728" s="580" t="s">
        <v>100</v>
      </c>
      <c r="F728" s="580" t="s">
        <v>436</v>
      </c>
      <c r="G728" s="581">
        <v>-8.5</v>
      </c>
      <c r="H728" s="580" t="s">
        <v>1641</v>
      </c>
      <c r="I728" s="580" t="s">
        <v>100</v>
      </c>
      <c r="J728" s="581">
        <v>0</v>
      </c>
      <c r="K728" s="592">
        <v>44952</v>
      </c>
      <c r="L728" s="593">
        <v>1846767</v>
      </c>
      <c r="M728" s="580" t="s">
        <v>100</v>
      </c>
      <c r="N728" s="580" t="s">
        <v>100</v>
      </c>
      <c r="O728" s="580" t="s">
        <v>1646</v>
      </c>
      <c r="P728" s="582" t="s">
        <v>100</v>
      </c>
    </row>
    <row r="729" spans="1:16" ht="15">
      <c r="A729" s="594">
        <v>44952</v>
      </c>
      <c r="B729" s="584" t="s">
        <v>1759</v>
      </c>
      <c r="C729" s="584" t="s">
        <v>430</v>
      </c>
      <c r="D729" s="584" t="s">
        <v>1737</v>
      </c>
      <c r="E729" s="584" t="s">
        <v>100</v>
      </c>
      <c r="F729" s="584" t="s">
        <v>436</v>
      </c>
      <c r="G729" s="585">
        <v>-5.25</v>
      </c>
      <c r="H729" s="584" t="s">
        <v>1641</v>
      </c>
      <c r="I729" s="584" t="s">
        <v>100</v>
      </c>
      <c r="J729" s="585">
        <v>0</v>
      </c>
      <c r="K729" s="595">
        <v>44952</v>
      </c>
      <c r="L729" s="596">
        <v>1846765</v>
      </c>
      <c r="M729" s="584" t="s">
        <v>100</v>
      </c>
      <c r="N729" s="584" t="s">
        <v>100</v>
      </c>
      <c r="O729" s="584" t="s">
        <v>1646</v>
      </c>
      <c r="P729" s="586" t="s">
        <v>100</v>
      </c>
    </row>
    <row r="730" spans="1:16" ht="15">
      <c r="A730" s="591">
        <v>44952</v>
      </c>
      <c r="B730" s="580" t="s">
        <v>1760</v>
      </c>
      <c r="C730" s="580" t="s">
        <v>430</v>
      </c>
      <c r="D730" s="580" t="s">
        <v>1737</v>
      </c>
      <c r="E730" s="580" t="s">
        <v>100</v>
      </c>
      <c r="F730" s="580" t="s">
        <v>436</v>
      </c>
      <c r="G730" s="581">
        <v>-12</v>
      </c>
      <c r="H730" s="580" t="s">
        <v>1641</v>
      </c>
      <c r="I730" s="580" t="s">
        <v>100</v>
      </c>
      <c r="J730" s="581">
        <v>0</v>
      </c>
      <c r="K730" s="592">
        <v>44952</v>
      </c>
      <c r="L730" s="593">
        <v>1846763</v>
      </c>
      <c r="M730" s="580" t="s">
        <v>100</v>
      </c>
      <c r="N730" s="580" t="s">
        <v>100</v>
      </c>
      <c r="O730" s="580" t="s">
        <v>1646</v>
      </c>
      <c r="P730" s="582" t="s">
        <v>100</v>
      </c>
    </row>
    <row r="731" spans="1:16" ht="15">
      <c r="A731" s="594">
        <v>44952</v>
      </c>
      <c r="B731" s="584" t="s">
        <v>1761</v>
      </c>
      <c r="C731" s="584" t="s">
        <v>430</v>
      </c>
      <c r="D731" s="584" t="s">
        <v>1737</v>
      </c>
      <c r="E731" s="584" t="s">
        <v>100</v>
      </c>
      <c r="F731" s="584" t="s">
        <v>436</v>
      </c>
      <c r="G731" s="585">
        <v>-21</v>
      </c>
      <c r="H731" s="584" t="s">
        <v>1641</v>
      </c>
      <c r="I731" s="584" t="s">
        <v>100</v>
      </c>
      <c r="J731" s="585">
        <v>0</v>
      </c>
      <c r="K731" s="595">
        <v>44952</v>
      </c>
      <c r="L731" s="596">
        <v>1846761</v>
      </c>
      <c r="M731" s="584" t="s">
        <v>100</v>
      </c>
      <c r="N731" s="584" t="s">
        <v>100</v>
      </c>
      <c r="O731" s="584" t="s">
        <v>1646</v>
      </c>
      <c r="P731" s="586" t="s">
        <v>100</v>
      </c>
    </row>
    <row r="732" spans="1:16" ht="15">
      <c r="A732" s="591">
        <v>44952</v>
      </c>
      <c r="B732" s="580" t="s">
        <v>1762</v>
      </c>
      <c r="C732" s="580" t="s">
        <v>430</v>
      </c>
      <c r="D732" s="580" t="s">
        <v>1737</v>
      </c>
      <c r="E732" s="580" t="s">
        <v>100</v>
      </c>
      <c r="F732" s="580" t="s">
        <v>436</v>
      </c>
      <c r="G732" s="581">
        <v>-503.75</v>
      </c>
      <c r="H732" s="580" t="s">
        <v>1641</v>
      </c>
      <c r="I732" s="580" t="s">
        <v>100</v>
      </c>
      <c r="J732" s="581">
        <v>0</v>
      </c>
      <c r="K732" s="592">
        <v>44952</v>
      </c>
      <c r="L732" s="593">
        <v>1846759</v>
      </c>
      <c r="M732" s="580" t="s">
        <v>100</v>
      </c>
      <c r="N732" s="580" t="s">
        <v>100</v>
      </c>
      <c r="O732" s="580" t="s">
        <v>1646</v>
      </c>
      <c r="P732" s="582" t="s">
        <v>100</v>
      </c>
    </row>
    <row r="733" spans="1:16" ht="15">
      <c r="A733" s="594">
        <v>44952</v>
      </c>
      <c r="B733" s="584" t="s">
        <v>1763</v>
      </c>
      <c r="C733" s="584" t="s">
        <v>430</v>
      </c>
      <c r="D733" s="584" t="s">
        <v>1737</v>
      </c>
      <c r="E733" s="584" t="s">
        <v>100</v>
      </c>
      <c r="F733" s="584" t="s">
        <v>436</v>
      </c>
      <c r="G733" s="585">
        <v>-106.75</v>
      </c>
      <c r="H733" s="584" t="s">
        <v>1641</v>
      </c>
      <c r="I733" s="584" t="s">
        <v>100</v>
      </c>
      <c r="J733" s="585">
        <v>0</v>
      </c>
      <c r="K733" s="595">
        <v>44952</v>
      </c>
      <c r="L733" s="596">
        <v>1846757</v>
      </c>
      <c r="M733" s="584" t="s">
        <v>100</v>
      </c>
      <c r="N733" s="584" t="s">
        <v>100</v>
      </c>
      <c r="O733" s="584" t="s">
        <v>1646</v>
      </c>
      <c r="P733" s="586" t="s">
        <v>100</v>
      </c>
    </row>
    <row r="734" spans="1:16" ht="15">
      <c r="A734" s="591">
        <v>44952</v>
      </c>
      <c r="B734" s="580" t="s">
        <v>1764</v>
      </c>
      <c r="C734" s="580" t="s">
        <v>430</v>
      </c>
      <c r="D734" s="580" t="s">
        <v>1737</v>
      </c>
      <c r="E734" s="580" t="s">
        <v>100</v>
      </c>
      <c r="F734" s="580" t="s">
        <v>436</v>
      </c>
      <c r="G734" s="581">
        <v>-44.5</v>
      </c>
      <c r="H734" s="580" t="s">
        <v>1641</v>
      </c>
      <c r="I734" s="580" t="s">
        <v>100</v>
      </c>
      <c r="J734" s="581">
        <v>0</v>
      </c>
      <c r="K734" s="592">
        <v>44952</v>
      </c>
      <c r="L734" s="593">
        <v>1846755</v>
      </c>
      <c r="M734" s="580" t="s">
        <v>100</v>
      </c>
      <c r="N734" s="580" t="s">
        <v>100</v>
      </c>
      <c r="O734" s="580" t="s">
        <v>1646</v>
      </c>
      <c r="P734" s="582" t="s">
        <v>100</v>
      </c>
    </row>
    <row r="735" spans="1:16" ht="15">
      <c r="A735" s="594">
        <v>44952</v>
      </c>
      <c r="B735" s="584" t="s">
        <v>1765</v>
      </c>
      <c r="C735" s="584" t="s">
        <v>430</v>
      </c>
      <c r="D735" s="584" t="s">
        <v>1737</v>
      </c>
      <c r="E735" s="584" t="s">
        <v>100</v>
      </c>
      <c r="F735" s="584" t="s">
        <v>436</v>
      </c>
      <c r="G735" s="585">
        <v>-20.5</v>
      </c>
      <c r="H735" s="584" t="s">
        <v>1641</v>
      </c>
      <c r="I735" s="584" t="s">
        <v>100</v>
      </c>
      <c r="J735" s="585">
        <v>0</v>
      </c>
      <c r="K735" s="595">
        <v>44952</v>
      </c>
      <c r="L735" s="596">
        <v>1846753</v>
      </c>
      <c r="M735" s="584" t="s">
        <v>100</v>
      </c>
      <c r="N735" s="584" t="s">
        <v>100</v>
      </c>
      <c r="O735" s="584" t="s">
        <v>1646</v>
      </c>
      <c r="P735" s="586" t="s">
        <v>100</v>
      </c>
    </row>
    <row r="736" spans="1:16" ht="15">
      <c r="A736" s="591">
        <v>44952</v>
      </c>
      <c r="B736" s="580" t="s">
        <v>1766</v>
      </c>
      <c r="C736" s="580" t="s">
        <v>430</v>
      </c>
      <c r="D736" s="580" t="s">
        <v>1737</v>
      </c>
      <c r="E736" s="580" t="s">
        <v>100</v>
      </c>
      <c r="F736" s="580" t="s">
        <v>436</v>
      </c>
      <c r="G736" s="581">
        <v>-5.25</v>
      </c>
      <c r="H736" s="580" t="s">
        <v>1641</v>
      </c>
      <c r="I736" s="580" t="s">
        <v>100</v>
      </c>
      <c r="J736" s="581">
        <v>0</v>
      </c>
      <c r="K736" s="592">
        <v>44952</v>
      </c>
      <c r="L736" s="593">
        <v>1846751</v>
      </c>
      <c r="M736" s="580" t="s">
        <v>100</v>
      </c>
      <c r="N736" s="580" t="s">
        <v>100</v>
      </c>
      <c r="O736" s="580" t="s">
        <v>1646</v>
      </c>
      <c r="P736" s="582" t="s">
        <v>100</v>
      </c>
    </row>
    <row r="737" spans="1:16" ht="15">
      <c r="A737" s="594">
        <v>44952</v>
      </c>
      <c r="B737" s="584" t="s">
        <v>1767</v>
      </c>
      <c r="C737" s="584" t="s">
        <v>430</v>
      </c>
      <c r="D737" s="584" t="s">
        <v>1737</v>
      </c>
      <c r="E737" s="584" t="s">
        <v>100</v>
      </c>
      <c r="F737" s="584" t="s">
        <v>436</v>
      </c>
      <c r="G737" s="585">
        <v>-4</v>
      </c>
      <c r="H737" s="584" t="s">
        <v>1641</v>
      </c>
      <c r="I737" s="584" t="s">
        <v>100</v>
      </c>
      <c r="J737" s="585">
        <v>0</v>
      </c>
      <c r="K737" s="595">
        <v>44952</v>
      </c>
      <c r="L737" s="596">
        <v>1846749</v>
      </c>
      <c r="M737" s="584" t="s">
        <v>100</v>
      </c>
      <c r="N737" s="584" t="s">
        <v>100</v>
      </c>
      <c r="O737" s="584" t="s">
        <v>1646</v>
      </c>
      <c r="P737" s="586" t="s">
        <v>100</v>
      </c>
    </row>
    <row r="738" spans="1:16" ht="15">
      <c r="A738" s="591">
        <v>44952</v>
      </c>
      <c r="B738" s="580" t="s">
        <v>1768</v>
      </c>
      <c r="C738" s="580" t="s">
        <v>430</v>
      </c>
      <c r="D738" s="580" t="s">
        <v>1737</v>
      </c>
      <c r="E738" s="580" t="s">
        <v>100</v>
      </c>
      <c r="F738" s="580" t="s">
        <v>436</v>
      </c>
      <c r="G738" s="581">
        <v>-133</v>
      </c>
      <c r="H738" s="580" t="s">
        <v>1641</v>
      </c>
      <c r="I738" s="580" t="s">
        <v>100</v>
      </c>
      <c r="J738" s="581">
        <v>0</v>
      </c>
      <c r="K738" s="592">
        <v>44952</v>
      </c>
      <c r="L738" s="593">
        <v>1846747</v>
      </c>
      <c r="M738" s="580" t="s">
        <v>100</v>
      </c>
      <c r="N738" s="580" t="s">
        <v>100</v>
      </c>
      <c r="O738" s="580" t="s">
        <v>1646</v>
      </c>
      <c r="P738" s="582" t="s">
        <v>100</v>
      </c>
    </row>
    <row r="739" spans="1:16" ht="15">
      <c r="A739" s="594">
        <v>44952</v>
      </c>
      <c r="B739" s="584" t="s">
        <v>1769</v>
      </c>
      <c r="C739" s="584" t="s">
        <v>430</v>
      </c>
      <c r="D739" s="584" t="s">
        <v>1737</v>
      </c>
      <c r="E739" s="584" t="s">
        <v>100</v>
      </c>
      <c r="F739" s="584" t="s">
        <v>436</v>
      </c>
      <c r="G739" s="585">
        <v>-2.75</v>
      </c>
      <c r="H739" s="584" t="s">
        <v>1641</v>
      </c>
      <c r="I739" s="584" t="s">
        <v>100</v>
      </c>
      <c r="J739" s="585">
        <v>0</v>
      </c>
      <c r="K739" s="595">
        <v>44952</v>
      </c>
      <c r="L739" s="596">
        <v>1846745</v>
      </c>
      <c r="M739" s="584" t="s">
        <v>100</v>
      </c>
      <c r="N739" s="584" t="s">
        <v>100</v>
      </c>
      <c r="O739" s="584" t="s">
        <v>1646</v>
      </c>
      <c r="P739" s="586" t="s">
        <v>100</v>
      </c>
    </row>
    <row r="740" spans="1:16" ht="15">
      <c r="A740" s="591">
        <v>44952</v>
      </c>
      <c r="B740" s="580" t="s">
        <v>1770</v>
      </c>
      <c r="C740" s="580" t="s">
        <v>430</v>
      </c>
      <c r="D740" s="580" t="s">
        <v>1737</v>
      </c>
      <c r="E740" s="580" t="s">
        <v>100</v>
      </c>
      <c r="F740" s="580" t="s">
        <v>436</v>
      </c>
      <c r="G740" s="581">
        <v>-136.5</v>
      </c>
      <c r="H740" s="580" t="s">
        <v>1641</v>
      </c>
      <c r="I740" s="580" t="s">
        <v>100</v>
      </c>
      <c r="J740" s="581">
        <v>0</v>
      </c>
      <c r="K740" s="592">
        <v>44952</v>
      </c>
      <c r="L740" s="593">
        <v>1846743</v>
      </c>
      <c r="M740" s="580" t="s">
        <v>100</v>
      </c>
      <c r="N740" s="580" t="s">
        <v>100</v>
      </c>
      <c r="O740" s="580" t="s">
        <v>1646</v>
      </c>
      <c r="P740" s="582" t="s">
        <v>100</v>
      </c>
    </row>
    <row r="741" spans="1:16" ht="15">
      <c r="A741" s="594">
        <v>44952</v>
      </c>
      <c r="B741" s="584" t="s">
        <v>1771</v>
      </c>
      <c r="C741" s="584" t="s">
        <v>430</v>
      </c>
      <c r="D741" s="584" t="s">
        <v>1737</v>
      </c>
      <c r="E741" s="584" t="s">
        <v>100</v>
      </c>
      <c r="F741" s="584" t="s">
        <v>436</v>
      </c>
      <c r="G741" s="585">
        <v>-25.75</v>
      </c>
      <c r="H741" s="584" t="s">
        <v>1641</v>
      </c>
      <c r="I741" s="584" t="s">
        <v>100</v>
      </c>
      <c r="J741" s="585">
        <v>0</v>
      </c>
      <c r="K741" s="595">
        <v>44952</v>
      </c>
      <c r="L741" s="596">
        <v>1846741</v>
      </c>
      <c r="M741" s="584" t="s">
        <v>100</v>
      </c>
      <c r="N741" s="584" t="s">
        <v>100</v>
      </c>
      <c r="O741" s="584" t="s">
        <v>1646</v>
      </c>
      <c r="P741" s="586" t="s">
        <v>100</v>
      </c>
    </row>
    <row r="742" spans="1:16" ht="15">
      <c r="A742" s="591">
        <v>44950</v>
      </c>
      <c r="B742" s="580" t="s">
        <v>1772</v>
      </c>
      <c r="C742" s="580" t="s">
        <v>430</v>
      </c>
      <c r="D742" s="580" t="s">
        <v>1723</v>
      </c>
      <c r="E742" s="580" t="s">
        <v>100</v>
      </c>
      <c r="F742" s="580" t="s">
        <v>436</v>
      </c>
      <c r="G742" s="581">
        <v>-400</v>
      </c>
      <c r="H742" s="580" t="s">
        <v>1641</v>
      </c>
      <c r="I742" s="580" t="s">
        <v>100</v>
      </c>
      <c r="J742" s="581">
        <v>0</v>
      </c>
      <c r="K742" s="592">
        <v>44950</v>
      </c>
      <c r="L742" s="593">
        <v>1846587</v>
      </c>
      <c r="M742" s="580" t="s">
        <v>100</v>
      </c>
      <c r="N742" s="580" t="s">
        <v>100</v>
      </c>
      <c r="O742" s="580" t="s">
        <v>1646</v>
      </c>
      <c r="P742" s="582" t="s">
        <v>100</v>
      </c>
    </row>
    <row r="743" spans="1:16" ht="15">
      <c r="A743" s="594">
        <v>44950</v>
      </c>
      <c r="B743" s="584" t="s">
        <v>1773</v>
      </c>
      <c r="C743" s="584" t="s">
        <v>430</v>
      </c>
      <c r="D743" s="584" t="s">
        <v>1723</v>
      </c>
      <c r="E743" s="584" t="s">
        <v>100</v>
      </c>
      <c r="F743" s="584" t="s">
        <v>436</v>
      </c>
      <c r="G743" s="585">
        <v>-400</v>
      </c>
      <c r="H743" s="584" t="s">
        <v>1641</v>
      </c>
      <c r="I743" s="584" t="s">
        <v>100</v>
      </c>
      <c r="J743" s="585">
        <v>0</v>
      </c>
      <c r="K743" s="595">
        <v>44950</v>
      </c>
      <c r="L743" s="596">
        <v>1846585</v>
      </c>
      <c r="M743" s="584" t="s">
        <v>100</v>
      </c>
      <c r="N743" s="584" t="s">
        <v>100</v>
      </c>
      <c r="O743" s="584" t="s">
        <v>1646</v>
      </c>
      <c r="P743" s="586" t="s">
        <v>100</v>
      </c>
    </row>
    <row r="744" spans="1:16" ht="15">
      <c r="A744" s="591">
        <v>44950</v>
      </c>
      <c r="B744" s="580" t="s">
        <v>1774</v>
      </c>
      <c r="C744" s="580" t="s">
        <v>430</v>
      </c>
      <c r="D744" s="580" t="s">
        <v>1723</v>
      </c>
      <c r="E744" s="580" t="s">
        <v>100</v>
      </c>
      <c r="F744" s="580" t="s">
        <v>436</v>
      </c>
      <c r="G744" s="581">
        <v>-400</v>
      </c>
      <c r="H744" s="580" t="s">
        <v>1641</v>
      </c>
      <c r="I744" s="580" t="s">
        <v>100</v>
      </c>
      <c r="J744" s="581">
        <v>0</v>
      </c>
      <c r="K744" s="592">
        <v>44950</v>
      </c>
      <c r="L744" s="593">
        <v>1846583</v>
      </c>
      <c r="M744" s="580" t="s">
        <v>100</v>
      </c>
      <c r="N744" s="580" t="s">
        <v>100</v>
      </c>
      <c r="O744" s="580" t="s">
        <v>1646</v>
      </c>
      <c r="P744" s="582" t="s">
        <v>100</v>
      </c>
    </row>
    <row r="745" spans="1:16" ht="15">
      <c r="A745" s="594">
        <v>44950</v>
      </c>
      <c r="B745" s="584" t="s">
        <v>1775</v>
      </c>
      <c r="C745" s="584" t="s">
        <v>430</v>
      </c>
      <c r="D745" s="584" t="s">
        <v>1723</v>
      </c>
      <c r="E745" s="584" t="s">
        <v>100</v>
      </c>
      <c r="F745" s="584" t="s">
        <v>436</v>
      </c>
      <c r="G745" s="585">
        <v>-400</v>
      </c>
      <c r="H745" s="584" t="s">
        <v>1641</v>
      </c>
      <c r="I745" s="584" t="s">
        <v>100</v>
      </c>
      <c r="J745" s="585">
        <v>0</v>
      </c>
      <c r="K745" s="595">
        <v>44950</v>
      </c>
      <c r="L745" s="596">
        <v>1846581</v>
      </c>
      <c r="M745" s="584" t="s">
        <v>100</v>
      </c>
      <c r="N745" s="584" t="s">
        <v>100</v>
      </c>
      <c r="O745" s="584" t="s">
        <v>1646</v>
      </c>
      <c r="P745" s="586" t="s">
        <v>100</v>
      </c>
    </row>
    <row r="746" spans="1:16" ht="15">
      <c r="A746" s="591">
        <v>44950</v>
      </c>
      <c r="B746" s="580" t="s">
        <v>1776</v>
      </c>
      <c r="C746" s="580" t="s">
        <v>430</v>
      </c>
      <c r="D746" s="580" t="s">
        <v>1723</v>
      </c>
      <c r="E746" s="580" t="s">
        <v>100</v>
      </c>
      <c r="F746" s="580" t="s">
        <v>436</v>
      </c>
      <c r="G746" s="581">
        <v>-400</v>
      </c>
      <c r="H746" s="580" t="s">
        <v>1641</v>
      </c>
      <c r="I746" s="580" t="s">
        <v>100</v>
      </c>
      <c r="J746" s="581">
        <v>0</v>
      </c>
      <c r="K746" s="592">
        <v>44950</v>
      </c>
      <c r="L746" s="593">
        <v>1846579</v>
      </c>
      <c r="M746" s="580" t="s">
        <v>100</v>
      </c>
      <c r="N746" s="580" t="s">
        <v>100</v>
      </c>
      <c r="O746" s="580" t="s">
        <v>1646</v>
      </c>
      <c r="P746" s="582" t="s">
        <v>100</v>
      </c>
    </row>
    <row r="747" spans="1:16" ht="15">
      <c r="A747" s="594">
        <v>44950</v>
      </c>
      <c r="B747" s="584" t="s">
        <v>1777</v>
      </c>
      <c r="C747" s="584" t="s">
        <v>430</v>
      </c>
      <c r="D747" s="584" t="s">
        <v>1723</v>
      </c>
      <c r="E747" s="584" t="s">
        <v>100</v>
      </c>
      <c r="F747" s="584" t="s">
        <v>436</v>
      </c>
      <c r="G747" s="585">
        <v>-400</v>
      </c>
      <c r="H747" s="584" t="s">
        <v>1641</v>
      </c>
      <c r="I747" s="584" t="s">
        <v>100</v>
      </c>
      <c r="J747" s="585">
        <v>0</v>
      </c>
      <c r="K747" s="595">
        <v>44950</v>
      </c>
      <c r="L747" s="596">
        <v>1846577</v>
      </c>
      <c r="M747" s="584" t="s">
        <v>100</v>
      </c>
      <c r="N747" s="584" t="s">
        <v>100</v>
      </c>
      <c r="O747" s="584" t="s">
        <v>1646</v>
      </c>
      <c r="P747" s="586" t="s">
        <v>100</v>
      </c>
    </row>
    <row r="748" spans="1:16" ht="15">
      <c r="A748" s="591">
        <v>44950</v>
      </c>
      <c r="B748" s="580" t="s">
        <v>1778</v>
      </c>
      <c r="C748" s="580" t="s">
        <v>430</v>
      </c>
      <c r="D748" s="580" t="s">
        <v>1723</v>
      </c>
      <c r="E748" s="580" t="s">
        <v>100</v>
      </c>
      <c r="F748" s="580" t="s">
        <v>436</v>
      </c>
      <c r="G748" s="581">
        <v>-400</v>
      </c>
      <c r="H748" s="580" t="s">
        <v>1641</v>
      </c>
      <c r="I748" s="580" t="s">
        <v>100</v>
      </c>
      <c r="J748" s="581">
        <v>0</v>
      </c>
      <c r="K748" s="592">
        <v>44950</v>
      </c>
      <c r="L748" s="593">
        <v>1846575</v>
      </c>
      <c r="M748" s="580" t="s">
        <v>100</v>
      </c>
      <c r="N748" s="580" t="s">
        <v>100</v>
      </c>
      <c r="O748" s="580" t="s">
        <v>1646</v>
      </c>
      <c r="P748" s="582" t="s">
        <v>100</v>
      </c>
    </row>
    <row r="749" spans="1:16" ht="15">
      <c r="A749" s="594">
        <v>44950</v>
      </c>
      <c r="B749" s="584" t="s">
        <v>1779</v>
      </c>
      <c r="C749" s="584" t="s">
        <v>430</v>
      </c>
      <c r="D749" s="584" t="s">
        <v>1723</v>
      </c>
      <c r="E749" s="584" t="s">
        <v>100</v>
      </c>
      <c r="F749" s="584" t="s">
        <v>436</v>
      </c>
      <c r="G749" s="585">
        <v>-400</v>
      </c>
      <c r="H749" s="584" t="s">
        <v>1641</v>
      </c>
      <c r="I749" s="584" t="s">
        <v>100</v>
      </c>
      <c r="J749" s="585">
        <v>0</v>
      </c>
      <c r="K749" s="595">
        <v>44950</v>
      </c>
      <c r="L749" s="596">
        <v>1846573</v>
      </c>
      <c r="M749" s="584" t="s">
        <v>100</v>
      </c>
      <c r="N749" s="584" t="s">
        <v>100</v>
      </c>
      <c r="O749" s="584" t="s">
        <v>1646</v>
      </c>
      <c r="P749" s="586" t="s">
        <v>100</v>
      </c>
    </row>
    <row r="750" spans="1:16" ht="15">
      <c r="A750" s="591">
        <v>44950</v>
      </c>
      <c r="B750" s="580" t="s">
        <v>1780</v>
      </c>
      <c r="C750" s="580" t="s">
        <v>430</v>
      </c>
      <c r="D750" s="580" t="s">
        <v>1723</v>
      </c>
      <c r="E750" s="580" t="s">
        <v>100</v>
      </c>
      <c r="F750" s="580" t="s">
        <v>436</v>
      </c>
      <c r="G750" s="581">
        <v>-400</v>
      </c>
      <c r="H750" s="580" t="s">
        <v>1641</v>
      </c>
      <c r="I750" s="580" t="s">
        <v>100</v>
      </c>
      <c r="J750" s="581">
        <v>0</v>
      </c>
      <c r="K750" s="592">
        <v>44950</v>
      </c>
      <c r="L750" s="593">
        <v>1846571</v>
      </c>
      <c r="M750" s="580" t="s">
        <v>100</v>
      </c>
      <c r="N750" s="580" t="s">
        <v>100</v>
      </c>
      <c r="O750" s="580" t="s">
        <v>1646</v>
      </c>
      <c r="P750" s="582" t="s">
        <v>100</v>
      </c>
    </row>
    <row r="751" spans="1:16" ht="15">
      <c r="A751" s="594">
        <v>44950</v>
      </c>
      <c r="B751" s="584" t="s">
        <v>1781</v>
      </c>
      <c r="C751" s="584" t="s">
        <v>430</v>
      </c>
      <c r="D751" s="584" t="s">
        <v>1723</v>
      </c>
      <c r="E751" s="584" t="s">
        <v>100</v>
      </c>
      <c r="F751" s="584" t="s">
        <v>436</v>
      </c>
      <c r="G751" s="585">
        <v>-400</v>
      </c>
      <c r="H751" s="584" t="s">
        <v>1641</v>
      </c>
      <c r="I751" s="584" t="s">
        <v>100</v>
      </c>
      <c r="J751" s="585">
        <v>0</v>
      </c>
      <c r="K751" s="595">
        <v>44950</v>
      </c>
      <c r="L751" s="596">
        <v>1846569</v>
      </c>
      <c r="M751" s="584" t="s">
        <v>100</v>
      </c>
      <c r="N751" s="584" t="s">
        <v>100</v>
      </c>
      <c r="O751" s="584" t="s">
        <v>1646</v>
      </c>
      <c r="P751" s="586" t="s">
        <v>100</v>
      </c>
    </row>
    <row r="752" spans="1:16" ht="15">
      <c r="A752" s="591">
        <v>44950</v>
      </c>
      <c r="B752" s="580" t="s">
        <v>1782</v>
      </c>
      <c r="C752" s="580" t="s">
        <v>430</v>
      </c>
      <c r="D752" s="580" t="s">
        <v>1723</v>
      </c>
      <c r="E752" s="580" t="s">
        <v>100</v>
      </c>
      <c r="F752" s="580" t="s">
        <v>436</v>
      </c>
      <c r="G752" s="581">
        <v>-400</v>
      </c>
      <c r="H752" s="580" t="s">
        <v>1641</v>
      </c>
      <c r="I752" s="580" t="s">
        <v>100</v>
      </c>
      <c r="J752" s="581">
        <v>0</v>
      </c>
      <c r="K752" s="592">
        <v>44950</v>
      </c>
      <c r="L752" s="593">
        <v>1846567</v>
      </c>
      <c r="M752" s="580" t="s">
        <v>100</v>
      </c>
      <c r="N752" s="580" t="s">
        <v>100</v>
      </c>
      <c r="O752" s="580" t="s">
        <v>1646</v>
      </c>
      <c r="P752" s="582" t="s">
        <v>100</v>
      </c>
    </row>
    <row r="753" spans="1:16" ht="15">
      <c r="A753" s="594">
        <v>44950</v>
      </c>
      <c r="B753" s="584" t="s">
        <v>1783</v>
      </c>
      <c r="C753" s="584" t="s">
        <v>430</v>
      </c>
      <c r="D753" s="584" t="s">
        <v>1723</v>
      </c>
      <c r="E753" s="584" t="s">
        <v>100</v>
      </c>
      <c r="F753" s="584" t="s">
        <v>436</v>
      </c>
      <c r="G753" s="585">
        <v>-400</v>
      </c>
      <c r="H753" s="584" t="s">
        <v>1641</v>
      </c>
      <c r="I753" s="584" t="s">
        <v>100</v>
      </c>
      <c r="J753" s="585">
        <v>0</v>
      </c>
      <c r="K753" s="595">
        <v>44950</v>
      </c>
      <c r="L753" s="596">
        <v>1846565</v>
      </c>
      <c r="M753" s="584" t="s">
        <v>100</v>
      </c>
      <c r="N753" s="584" t="s">
        <v>100</v>
      </c>
      <c r="O753" s="584" t="s">
        <v>1646</v>
      </c>
      <c r="P753" s="586" t="s">
        <v>100</v>
      </c>
    </row>
    <row r="754" spans="1:16" ht="15">
      <c r="A754" s="591">
        <v>44950</v>
      </c>
      <c r="B754" s="580" t="s">
        <v>1784</v>
      </c>
      <c r="C754" s="580" t="s">
        <v>430</v>
      </c>
      <c r="D754" s="580" t="s">
        <v>1723</v>
      </c>
      <c r="E754" s="580" t="s">
        <v>100</v>
      </c>
      <c r="F754" s="580" t="s">
        <v>436</v>
      </c>
      <c r="G754" s="581">
        <v>-400</v>
      </c>
      <c r="H754" s="580" t="s">
        <v>1641</v>
      </c>
      <c r="I754" s="580" t="s">
        <v>100</v>
      </c>
      <c r="J754" s="581">
        <v>0</v>
      </c>
      <c r="K754" s="592">
        <v>44950</v>
      </c>
      <c r="L754" s="593">
        <v>1846563</v>
      </c>
      <c r="M754" s="580" t="s">
        <v>100</v>
      </c>
      <c r="N754" s="580" t="s">
        <v>100</v>
      </c>
      <c r="O754" s="580" t="s">
        <v>1646</v>
      </c>
      <c r="P754" s="582" t="s">
        <v>100</v>
      </c>
    </row>
    <row r="755" spans="1:16" ht="15">
      <c r="A755" s="594">
        <v>44950</v>
      </c>
      <c r="B755" s="584" t="s">
        <v>1785</v>
      </c>
      <c r="C755" s="584" t="s">
        <v>430</v>
      </c>
      <c r="D755" s="584" t="s">
        <v>1723</v>
      </c>
      <c r="E755" s="584" t="s">
        <v>100</v>
      </c>
      <c r="F755" s="584" t="s">
        <v>436</v>
      </c>
      <c r="G755" s="585">
        <v>-400</v>
      </c>
      <c r="H755" s="584" t="s">
        <v>1641</v>
      </c>
      <c r="I755" s="584" t="s">
        <v>100</v>
      </c>
      <c r="J755" s="585">
        <v>0</v>
      </c>
      <c r="K755" s="595">
        <v>44950</v>
      </c>
      <c r="L755" s="596">
        <v>1846561</v>
      </c>
      <c r="M755" s="584" t="s">
        <v>100</v>
      </c>
      <c r="N755" s="584" t="s">
        <v>100</v>
      </c>
      <c r="O755" s="584" t="s">
        <v>1646</v>
      </c>
      <c r="P755" s="586" t="s">
        <v>100</v>
      </c>
    </row>
    <row r="756" spans="1:16" ht="15">
      <c r="A756" s="591">
        <v>44950</v>
      </c>
      <c r="B756" s="580" t="s">
        <v>1786</v>
      </c>
      <c r="C756" s="580" t="s">
        <v>430</v>
      </c>
      <c r="D756" s="580" t="s">
        <v>1723</v>
      </c>
      <c r="E756" s="580" t="s">
        <v>100</v>
      </c>
      <c r="F756" s="580" t="s">
        <v>436</v>
      </c>
      <c r="G756" s="581">
        <v>-400</v>
      </c>
      <c r="H756" s="580" t="s">
        <v>1641</v>
      </c>
      <c r="I756" s="580" t="s">
        <v>100</v>
      </c>
      <c r="J756" s="581">
        <v>0</v>
      </c>
      <c r="K756" s="592">
        <v>44950</v>
      </c>
      <c r="L756" s="593">
        <v>1846559</v>
      </c>
      <c r="M756" s="580" t="s">
        <v>100</v>
      </c>
      <c r="N756" s="580" t="s">
        <v>100</v>
      </c>
      <c r="O756" s="580" t="s">
        <v>1646</v>
      </c>
      <c r="P756" s="582" t="s">
        <v>100</v>
      </c>
    </row>
    <row r="757" spans="1:16" ht="15">
      <c r="A757" s="594">
        <v>44950</v>
      </c>
      <c r="B757" s="584" t="s">
        <v>1787</v>
      </c>
      <c r="C757" s="584" t="s">
        <v>430</v>
      </c>
      <c r="D757" s="584" t="s">
        <v>1723</v>
      </c>
      <c r="E757" s="584" t="s">
        <v>100</v>
      </c>
      <c r="F757" s="584" t="s">
        <v>436</v>
      </c>
      <c r="G757" s="585">
        <v>-400</v>
      </c>
      <c r="H757" s="584" t="s">
        <v>1641</v>
      </c>
      <c r="I757" s="584" t="s">
        <v>100</v>
      </c>
      <c r="J757" s="585">
        <v>0</v>
      </c>
      <c r="K757" s="595">
        <v>44950</v>
      </c>
      <c r="L757" s="596">
        <v>1846557</v>
      </c>
      <c r="M757" s="584" t="s">
        <v>100</v>
      </c>
      <c r="N757" s="584" t="s">
        <v>100</v>
      </c>
      <c r="O757" s="584" t="s">
        <v>1646</v>
      </c>
      <c r="P757" s="586" t="s">
        <v>100</v>
      </c>
    </row>
    <row r="758" spans="1:16" ht="15">
      <c r="A758" s="591">
        <v>44950</v>
      </c>
      <c r="B758" s="580" t="s">
        <v>1788</v>
      </c>
      <c r="C758" s="580" t="s">
        <v>430</v>
      </c>
      <c r="D758" s="580" t="s">
        <v>1723</v>
      </c>
      <c r="E758" s="580" t="s">
        <v>100</v>
      </c>
      <c r="F758" s="580" t="s">
        <v>436</v>
      </c>
      <c r="G758" s="581">
        <v>-400</v>
      </c>
      <c r="H758" s="580" t="s">
        <v>1641</v>
      </c>
      <c r="I758" s="580" t="s">
        <v>100</v>
      </c>
      <c r="J758" s="581">
        <v>0</v>
      </c>
      <c r="K758" s="592">
        <v>44950</v>
      </c>
      <c r="L758" s="593">
        <v>1846555</v>
      </c>
      <c r="M758" s="580" t="s">
        <v>100</v>
      </c>
      <c r="N758" s="580" t="s">
        <v>100</v>
      </c>
      <c r="O758" s="580" t="s">
        <v>1646</v>
      </c>
      <c r="P758" s="582" t="s">
        <v>100</v>
      </c>
    </row>
    <row r="759" spans="1:16" ht="15">
      <c r="A759" s="594">
        <v>44950</v>
      </c>
      <c r="B759" s="584" t="s">
        <v>1789</v>
      </c>
      <c r="C759" s="584" t="s">
        <v>430</v>
      </c>
      <c r="D759" s="584" t="s">
        <v>1723</v>
      </c>
      <c r="E759" s="584" t="s">
        <v>100</v>
      </c>
      <c r="F759" s="584" t="s">
        <v>436</v>
      </c>
      <c r="G759" s="585">
        <v>-400</v>
      </c>
      <c r="H759" s="584" t="s">
        <v>1641</v>
      </c>
      <c r="I759" s="584" t="s">
        <v>100</v>
      </c>
      <c r="J759" s="585">
        <v>0</v>
      </c>
      <c r="K759" s="595">
        <v>44950</v>
      </c>
      <c r="L759" s="596">
        <v>1846553</v>
      </c>
      <c r="M759" s="584" t="s">
        <v>100</v>
      </c>
      <c r="N759" s="584" t="s">
        <v>100</v>
      </c>
      <c r="O759" s="584" t="s">
        <v>1646</v>
      </c>
      <c r="P759" s="586" t="s">
        <v>100</v>
      </c>
    </row>
    <row r="760" spans="1:16" ht="15">
      <c r="A760" s="591">
        <v>44950</v>
      </c>
      <c r="B760" s="580" t="s">
        <v>1790</v>
      </c>
      <c r="C760" s="580" t="s">
        <v>430</v>
      </c>
      <c r="D760" s="580" t="s">
        <v>1723</v>
      </c>
      <c r="E760" s="580" t="s">
        <v>100</v>
      </c>
      <c r="F760" s="580" t="s">
        <v>436</v>
      </c>
      <c r="G760" s="581">
        <v>-400</v>
      </c>
      <c r="H760" s="580" t="s">
        <v>1641</v>
      </c>
      <c r="I760" s="580" t="s">
        <v>100</v>
      </c>
      <c r="J760" s="581">
        <v>0</v>
      </c>
      <c r="K760" s="592">
        <v>44950</v>
      </c>
      <c r="L760" s="593">
        <v>1846551</v>
      </c>
      <c r="M760" s="580" t="s">
        <v>100</v>
      </c>
      <c r="N760" s="580" t="s">
        <v>100</v>
      </c>
      <c r="O760" s="580" t="s">
        <v>1646</v>
      </c>
      <c r="P760" s="582" t="s">
        <v>100</v>
      </c>
    </row>
    <row r="761" spans="1:16" ht="15">
      <c r="A761" s="594">
        <v>44950</v>
      </c>
      <c r="B761" s="584" t="s">
        <v>1791</v>
      </c>
      <c r="C761" s="584" t="s">
        <v>430</v>
      </c>
      <c r="D761" s="584" t="s">
        <v>1723</v>
      </c>
      <c r="E761" s="584" t="s">
        <v>100</v>
      </c>
      <c r="F761" s="584" t="s">
        <v>436</v>
      </c>
      <c r="G761" s="585">
        <v>-400</v>
      </c>
      <c r="H761" s="584" t="s">
        <v>1641</v>
      </c>
      <c r="I761" s="584" t="s">
        <v>100</v>
      </c>
      <c r="J761" s="585">
        <v>0</v>
      </c>
      <c r="K761" s="595">
        <v>44950</v>
      </c>
      <c r="L761" s="596">
        <v>1846549</v>
      </c>
      <c r="M761" s="584" t="s">
        <v>100</v>
      </c>
      <c r="N761" s="584" t="s">
        <v>100</v>
      </c>
      <c r="O761" s="584" t="s">
        <v>1646</v>
      </c>
      <c r="P761" s="586" t="s">
        <v>100</v>
      </c>
    </row>
    <row r="762" spans="1:16" ht="15">
      <c r="A762" s="591">
        <v>44950</v>
      </c>
      <c r="B762" s="580" t="s">
        <v>1792</v>
      </c>
      <c r="C762" s="580" t="s">
        <v>430</v>
      </c>
      <c r="D762" s="580" t="s">
        <v>1793</v>
      </c>
      <c r="E762" s="580" t="s">
        <v>100</v>
      </c>
      <c r="F762" s="580" t="s">
        <v>436</v>
      </c>
      <c r="G762" s="581">
        <v>-400</v>
      </c>
      <c r="H762" s="580" t="s">
        <v>1641</v>
      </c>
      <c r="I762" s="580" t="s">
        <v>100</v>
      </c>
      <c r="J762" s="581">
        <v>0</v>
      </c>
      <c r="K762" s="592">
        <v>44950</v>
      </c>
      <c r="L762" s="593">
        <v>1846547</v>
      </c>
      <c r="M762" s="580" t="s">
        <v>100</v>
      </c>
      <c r="N762" s="580" t="s">
        <v>100</v>
      </c>
      <c r="O762" s="580" t="s">
        <v>1646</v>
      </c>
      <c r="P762" s="582" t="s">
        <v>100</v>
      </c>
    </row>
    <row r="763" spans="1:16" ht="15">
      <c r="A763" s="594">
        <v>44950</v>
      </c>
      <c r="B763" s="584" t="s">
        <v>1794</v>
      </c>
      <c r="C763" s="584" t="s">
        <v>430</v>
      </c>
      <c r="D763" s="584" t="s">
        <v>1723</v>
      </c>
      <c r="E763" s="584" t="s">
        <v>100</v>
      </c>
      <c r="F763" s="584" t="s">
        <v>436</v>
      </c>
      <c r="G763" s="585">
        <v>-400</v>
      </c>
      <c r="H763" s="584" t="s">
        <v>1641</v>
      </c>
      <c r="I763" s="584" t="s">
        <v>100</v>
      </c>
      <c r="J763" s="585">
        <v>0</v>
      </c>
      <c r="K763" s="595">
        <v>44950</v>
      </c>
      <c r="L763" s="596">
        <v>1846545</v>
      </c>
      <c r="M763" s="584" t="s">
        <v>100</v>
      </c>
      <c r="N763" s="584" t="s">
        <v>100</v>
      </c>
      <c r="O763" s="584" t="s">
        <v>1646</v>
      </c>
      <c r="P763" s="586" t="s">
        <v>100</v>
      </c>
    </row>
    <row r="764" spans="1:16" ht="15">
      <c r="A764" s="591">
        <v>44950</v>
      </c>
      <c r="B764" s="580" t="s">
        <v>1795</v>
      </c>
      <c r="C764" s="580" t="s">
        <v>430</v>
      </c>
      <c r="D764" s="580" t="s">
        <v>1723</v>
      </c>
      <c r="E764" s="580" t="s">
        <v>100</v>
      </c>
      <c r="F764" s="580" t="s">
        <v>436</v>
      </c>
      <c r="G764" s="581">
        <v>-400</v>
      </c>
      <c r="H764" s="580" t="s">
        <v>1641</v>
      </c>
      <c r="I764" s="580" t="s">
        <v>100</v>
      </c>
      <c r="J764" s="581">
        <v>0</v>
      </c>
      <c r="K764" s="592">
        <v>44950</v>
      </c>
      <c r="L764" s="593">
        <v>1846543</v>
      </c>
      <c r="M764" s="580" t="s">
        <v>100</v>
      </c>
      <c r="N764" s="580" t="s">
        <v>100</v>
      </c>
      <c r="O764" s="580" t="s">
        <v>1646</v>
      </c>
      <c r="P764" s="582" t="s">
        <v>100</v>
      </c>
    </row>
    <row r="765" spans="1:16" ht="15">
      <c r="A765" s="594">
        <v>44950</v>
      </c>
      <c r="B765" s="584" t="s">
        <v>1796</v>
      </c>
      <c r="C765" s="584" t="s">
        <v>430</v>
      </c>
      <c r="D765" s="584" t="s">
        <v>1723</v>
      </c>
      <c r="E765" s="584" t="s">
        <v>100</v>
      </c>
      <c r="F765" s="584" t="s">
        <v>436</v>
      </c>
      <c r="G765" s="585">
        <v>-400</v>
      </c>
      <c r="H765" s="584" t="s">
        <v>1641</v>
      </c>
      <c r="I765" s="584" t="s">
        <v>100</v>
      </c>
      <c r="J765" s="585">
        <v>0</v>
      </c>
      <c r="K765" s="595">
        <v>44950</v>
      </c>
      <c r="L765" s="596">
        <v>1846541</v>
      </c>
      <c r="M765" s="584" t="s">
        <v>100</v>
      </c>
      <c r="N765" s="584" t="s">
        <v>100</v>
      </c>
      <c r="O765" s="584" t="s">
        <v>1646</v>
      </c>
      <c r="P765" s="586" t="s">
        <v>100</v>
      </c>
    </row>
    <row r="766" spans="1:16" ht="15">
      <c r="A766" s="591">
        <v>44950</v>
      </c>
      <c r="B766" s="580" t="s">
        <v>1797</v>
      </c>
      <c r="C766" s="580" t="s">
        <v>430</v>
      </c>
      <c r="D766" s="580" t="s">
        <v>1723</v>
      </c>
      <c r="E766" s="580" t="s">
        <v>100</v>
      </c>
      <c r="F766" s="580" t="s">
        <v>436</v>
      </c>
      <c r="G766" s="581">
        <v>-400</v>
      </c>
      <c r="H766" s="580" t="s">
        <v>1641</v>
      </c>
      <c r="I766" s="580" t="s">
        <v>100</v>
      </c>
      <c r="J766" s="581">
        <v>0</v>
      </c>
      <c r="K766" s="592">
        <v>44950</v>
      </c>
      <c r="L766" s="593">
        <v>1846539</v>
      </c>
      <c r="M766" s="580" t="s">
        <v>100</v>
      </c>
      <c r="N766" s="580" t="s">
        <v>100</v>
      </c>
      <c r="O766" s="580" t="s">
        <v>1646</v>
      </c>
      <c r="P766" s="582" t="s">
        <v>100</v>
      </c>
    </row>
    <row r="767" spans="1:16" ht="15">
      <c r="A767" s="594">
        <v>44950</v>
      </c>
      <c r="B767" s="584" t="s">
        <v>1798</v>
      </c>
      <c r="C767" s="584" t="s">
        <v>430</v>
      </c>
      <c r="D767" s="584" t="s">
        <v>1723</v>
      </c>
      <c r="E767" s="584" t="s">
        <v>100</v>
      </c>
      <c r="F767" s="584" t="s">
        <v>436</v>
      </c>
      <c r="G767" s="585">
        <v>-400</v>
      </c>
      <c r="H767" s="584" t="s">
        <v>1641</v>
      </c>
      <c r="I767" s="584" t="s">
        <v>100</v>
      </c>
      <c r="J767" s="585">
        <v>0</v>
      </c>
      <c r="K767" s="595">
        <v>44950</v>
      </c>
      <c r="L767" s="596">
        <v>1846537</v>
      </c>
      <c r="M767" s="584" t="s">
        <v>100</v>
      </c>
      <c r="N767" s="584" t="s">
        <v>100</v>
      </c>
      <c r="O767" s="584" t="s">
        <v>1646</v>
      </c>
      <c r="P767" s="586" t="s">
        <v>100</v>
      </c>
    </row>
    <row r="768" spans="1:16" ht="15">
      <c r="A768" s="591">
        <v>44950</v>
      </c>
      <c r="B768" s="580" t="s">
        <v>1799</v>
      </c>
      <c r="C768" s="580" t="s">
        <v>430</v>
      </c>
      <c r="D768" s="580" t="s">
        <v>1723</v>
      </c>
      <c r="E768" s="580" t="s">
        <v>100</v>
      </c>
      <c r="F768" s="580" t="s">
        <v>436</v>
      </c>
      <c r="G768" s="581">
        <v>-400</v>
      </c>
      <c r="H768" s="580" t="s">
        <v>1641</v>
      </c>
      <c r="I768" s="580" t="s">
        <v>100</v>
      </c>
      <c r="J768" s="581">
        <v>0</v>
      </c>
      <c r="K768" s="592">
        <v>44950</v>
      </c>
      <c r="L768" s="593">
        <v>1846535</v>
      </c>
      <c r="M768" s="580" t="s">
        <v>100</v>
      </c>
      <c r="N768" s="580" t="s">
        <v>100</v>
      </c>
      <c r="O768" s="580" t="s">
        <v>1646</v>
      </c>
      <c r="P768" s="582" t="s">
        <v>100</v>
      </c>
    </row>
    <row r="769" spans="1:16" ht="15">
      <c r="A769" s="594">
        <v>44950</v>
      </c>
      <c r="B769" s="584" t="s">
        <v>1800</v>
      </c>
      <c r="C769" s="584" t="s">
        <v>430</v>
      </c>
      <c r="D769" s="584" t="s">
        <v>1723</v>
      </c>
      <c r="E769" s="584" t="s">
        <v>100</v>
      </c>
      <c r="F769" s="584" t="s">
        <v>436</v>
      </c>
      <c r="G769" s="585">
        <v>-400</v>
      </c>
      <c r="H769" s="584" t="s">
        <v>1641</v>
      </c>
      <c r="I769" s="584" t="s">
        <v>100</v>
      </c>
      <c r="J769" s="585">
        <v>0</v>
      </c>
      <c r="K769" s="595">
        <v>44950</v>
      </c>
      <c r="L769" s="596">
        <v>1846533</v>
      </c>
      <c r="M769" s="584" t="s">
        <v>100</v>
      </c>
      <c r="N769" s="584" t="s">
        <v>100</v>
      </c>
      <c r="O769" s="584" t="s">
        <v>1646</v>
      </c>
      <c r="P769" s="586" t="s">
        <v>100</v>
      </c>
    </row>
    <row r="770" spans="1:16" ht="15">
      <c r="A770" s="591">
        <v>44950</v>
      </c>
      <c r="B770" s="580" t="s">
        <v>1801</v>
      </c>
      <c r="C770" s="580" t="s">
        <v>430</v>
      </c>
      <c r="D770" s="580" t="s">
        <v>1723</v>
      </c>
      <c r="E770" s="580" t="s">
        <v>100</v>
      </c>
      <c r="F770" s="580" t="s">
        <v>436</v>
      </c>
      <c r="G770" s="581">
        <v>-400</v>
      </c>
      <c r="H770" s="580" t="s">
        <v>1641</v>
      </c>
      <c r="I770" s="580" t="s">
        <v>100</v>
      </c>
      <c r="J770" s="581">
        <v>0</v>
      </c>
      <c r="K770" s="592">
        <v>44950</v>
      </c>
      <c r="L770" s="593">
        <v>1846531</v>
      </c>
      <c r="M770" s="580" t="s">
        <v>100</v>
      </c>
      <c r="N770" s="580" t="s">
        <v>100</v>
      </c>
      <c r="O770" s="580" t="s">
        <v>1646</v>
      </c>
      <c r="P770" s="582" t="s">
        <v>100</v>
      </c>
    </row>
    <row r="771" spans="1:16" ht="15">
      <c r="A771" s="594">
        <v>44950</v>
      </c>
      <c r="B771" s="584" t="s">
        <v>1802</v>
      </c>
      <c r="C771" s="584" t="s">
        <v>430</v>
      </c>
      <c r="D771" s="584" t="s">
        <v>1723</v>
      </c>
      <c r="E771" s="584" t="s">
        <v>100</v>
      </c>
      <c r="F771" s="584" t="s">
        <v>436</v>
      </c>
      <c r="G771" s="585">
        <v>-400</v>
      </c>
      <c r="H771" s="584" t="s">
        <v>1641</v>
      </c>
      <c r="I771" s="584" t="s">
        <v>100</v>
      </c>
      <c r="J771" s="585">
        <v>0</v>
      </c>
      <c r="K771" s="595">
        <v>44950</v>
      </c>
      <c r="L771" s="596">
        <v>1846529</v>
      </c>
      <c r="M771" s="584" t="s">
        <v>100</v>
      </c>
      <c r="N771" s="584" t="s">
        <v>100</v>
      </c>
      <c r="O771" s="584" t="s">
        <v>1646</v>
      </c>
      <c r="P771" s="586" t="s">
        <v>100</v>
      </c>
    </row>
    <row r="772" spans="1:16" ht="15">
      <c r="A772" s="591">
        <v>44950</v>
      </c>
      <c r="B772" s="580" t="s">
        <v>1803</v>
      </c>
      <c r="C772" s="580" t="s">
        <v>430</v>
      </c>
      <c r="D772" s="580" t="s">
        <v>1723</v>
      </c>
      <c r="E772" s="580" t="s">
        <v>100</v>
      </c>
      <c r="F772" s="580" t="s">
        <v>436</v>
      </c>
      <c r="G772" s="581">
        <v>-400</v>
      </c>
      <c r="H772" s="580" t="s">
        <v>1641</v>
      </c>
      <c r="I772" s="580" t="s">
        <v>100</v>
      </c>
      <c r="J772" s="581">
        <v>0</v>
      </c>
      <c r="K772" s="592">
        <v>44950</v>
      </c>
      <c r="L772" s="593">
        <v>1846527</v>
      </c>
      <c r="M772" s="580" t="s">
        <v>100</v>
      </c>
      <c r="N772" s="580" t="s">
        <v>100</v>
      </c>
      <c r="O772" s="580" t="s">
        <v>1646</v>
      </c>
      <c r="P772" s="582" t="s">
        <v>100</v>
      </c>
    </row>
    <row r="773" spans="1:16" ht="15">
      <c r="A773" s="594">
        <v>44950</v>
      </c>
      <c r="B773" s="584" t="s">
        <v>1804</v>
      </c>
      <c r="C773" s="584" t="s">
        <v>430</v>
      </c>
      <c r="D773" s="584" t="s">
        <v>1723</v>
      </c>
      <c r="E773" s="584" t="s">
        <v>100</v>
      </c>
      <c r="F773" s="584" t="s">
        <v>436</v>
      </c>
      <c r="G773" s="585">
        <v>-400</v>
      </c>
      <c r="H773" s="584" t="s">
        <v>1641</v>
      </c>
      <c r="I773" s="584" t="s">
        <v>100</v>
      </c>
      <c r="J773" s="585">
        <v>0</v>
      </c>
      <c r="K773" s="595">
        <v>44950</v>
      </c>
      <c r="L773" s="596">
        <v>1846525</v>
      </c>
      <c r="M773" s="584" t="s">
        <v>100</v>
      </c>
      <c r="N773" s="584" t="s">
        <v>100</v>
      </c>
      <c r="O773" s="584" t="s">
        <v>1646</v>
      </c>
      <c r="P773" s="586" t="s">
        <v>100</v>
      </c>
    </row>
    <row r="774" spans="1:16" ht="15">
      <c r="A774" s="591">
        <v>44950</v>
      </c>
      <c r="B774" s="580" t="s">
        <v>1805</v>
      </c>
      <c r="C774" s="580" t="s">
        <v>430</v>
      </c>
      <c r="D774" s="580" t="s">
        <v>1723</v>
      </c>
      <c r="E774" s="580" t="s">
        <v>100</v>
      </c>
      <c r="F774" s="580" t="s">
        <v>436</v>
      </c>
      <c r="G774" s="581">
        <v>-400</v>
      </c>
      <c r="H774" s="580" t="s">
        <v>1641</v>
      </c>
      <c r="I774" s="580" t="s">
        <v>100</v>
      </c>
      <c r="J774" s="581">
        <v>0</v>
      </c>
      <c r="K774" s="592">
        <v>44950</v>
      </c>
      <c r="L774" s="593">
        <v>1846523</v>
      </c>
      <c r="M774" s="580" t="s">
        <v>100</v>
      </c>
      <c r="N774" s="580" t="s">
        <v>100</v>
      </c>
      <c r="O774" s="580" t="s">
        <v>1646</v>
      </c>
      <c r="P774" s="582" t="s">
        <v>100</v>
      </c>
    </row>
    <row r="775" spans="1:16" ht="15">
      <c r="A775" s="594">
        <v>44950</v>
      </c>
      <c r="B775" s="584" t="s">
        <v>1806</v>
      </c>
      <c r="C775" s="584" t="s">
        <v>430</v>
      </c>
      <c r="D775" s="584" t="s">
        <v>1723</v>
      </c>
      <c r="E775" s="584" t="s">
        <v>100</v>
      </c>
      <c r="F775" s="584" t="s">
        <v>436</v>
      </c>
      <c r="G775" s="585">
        <v>-400</v>
      </c>
      <c r="H775" s="584" t="s">
        <v>1641</v>
      </c>
      <c r="I775" s="584" t="s">
        <v>100</v>
      </c>
      <c r="J775" s="585">
        <v>0</v>
      </c>
      <c r="K775" s="595">
        <v>44950</v>
      </c>
      <c r="L775" s="596">
        <v>1846521</v>
      </c>
      <c r="M775" s="584" t="s">
        <v>100</v>
      </c>
      <c r="N775" s="584" t="s">
        <v>100</v>
      </c>
      <c r="O775" s="584" t="s">
        <v>1646</v>
      </c>
      <c r="P775" s="586" t="s">
        <v>100</v>
      </c>
    </row>
    <row r="776" spans="1:16" ht="15">
      <c r="A776" s="591">
        <v>44950</v>
      </c>
      <c r="B776" s="580" t="s">
        <v>1807</v>
      </c>
      <c r="C776" s="580" t="s">
        <v>430</v>
      </c>
      <c r="D776" s="580" t="s">
        <v>1723</v>
      </c>
      <c r="E776" s="580" t="s">
        <v>100</v>
      </c>
      <c r="F776" s="580" t="s">
        <v>436</v>
      </c>
      <c r="G776" s="581">
        <v>-400</v>
      </c>
      <c r="H776" s="580" t="s">
        <v>1641</v>
      </c>
      <c r="I776" s="580" t="s">
        <v>100</v>
      </c>
      <c r="J776" s="581">
        <v>0</v>
      </c>
      <c r="K776" s="592">
        <v>44950</v>
      </c>
      <c r="L776" s="593">
        <v>1846519</v>
      </c>
      <c r="M776" s="580" t="s">
        <v>100</v>
      </c>
      <c r="N776" s="580" t="s">
        <v>100</v>
      </c>
      <c r="O776" s="580" t="s">
        <v>1646</v>
      </c>
      <c r="P776" s="582" t="s">
        <v>100</v>
      </c>
    </row>
    <row r="777" spans="1:16" ht="15">
      <c r="A777" s="594">
        <v>44950</v>
      </c>
      <c r="B777" s="584" t="s">
        <v>1808</v>
      </c>
      <c r="C777" s="584" t="s">
        <v>430</v>
      </c>
      <c r="D777" s="584" t="s">
        <v>1723</v>
      </c>
      <c r="E777" s="584" t="s">
        <v>100</v>
      </c>
      <c r="F777" s="584" t="s">
        <v>436</v>
      </c>
      <c r="G777" s="585">
        <v>-400</v>
      </c>
      <c r="H777" s="584" t="s">
        <v>1641</v>
      </c>
      <c r="I777" s="584" t="s">
        <v>100</v>
      </c>
      <c r="J777" s="585">
        <v>0</v>
      </c>
      <c r="K777" s="595">
        <v>44950</v>
      </c>
      <c r="L777" s="596">
        <v>1846517</v>
      </c>
      <c r="M777" s="584" t="s">
        <v>100</v>
      </c>
      <c r="N777" s="584" t="s">
        <v>100</v>
      </c>
      <c r="O777" s="584" t="s">
        <v>1646</v>
      </c>
      <c r="P777" s="586" t="s">
        <v>100</v>
      </c>
    </row>
    <row r="778" spans="1:16" ht="15">
      <c r="A778" s="591">
        <v>44950</v>
      </c>
      <c r="B778" s="580" t="s">
        <v>1809</v>
      </c>
      <c r="C778" s="580" t="s">
        <v>430</v>
      </c>
      <c r="D778" s="580" t="s">
        <v>1723</v>
      </c>
      <c r="E778" s="580" t="s">
        <v>100</v>
      </c>
      <c r="F778" s="580" t="s">
        <v>436</v>
      </c>
      <c r="G778" s="581">
        <v>-400</v>
      </c>
      <c r="H778" s="580" t="s">
        <v>1641</v>
      </c>
      <c r="I778" s="580" t="s">
        <v>100</v>
      </c>
      <c r="J778" s="581">
        <v>0</v>
      </c>
      <c r="K778" s="592">
        <v>44950</v>
      </c>
      <c r="L778" s="593">
        <v>1846515</v>
      </c>
      <c r="M778" s="580" t="s">
        <v>100</v>
      </c>
      <c r="N778" s="580" t="s">
        <v>100</v>
      </c>
      <c r="O778" s="580" t="s">
        <v>1646</v>
      </c>
      <c r="P778" s="582" t="s">
        <v>100</v>
      </c>
    </row>
    <row r="779" spans="1:16" ht="15">
      <c r="A779" s="594">
        <v>44950</v>
      </c>
      <c r="B779" s="584" t="s">
        <v>1810</v>
      </c>
      <c r="C779" s="584" t="s">
        <v>430</v>
      </c>
      <c r="D779" s="584" t="s">
        <v>1723</v>
      </c>
      <c r="E779" s="584" t="s">
        <v>100</v>
      </c>
      <c r="F779" s="584" t="s">
        <v>436</v>
      </c>
      <c r="G779" s="585">
        <v>-400</v>
      </c>
      <c r="H779" s="584" t="s">
        <v>1641</v>
      </c>
      <c r="I779" s="584" t="s">
        <v>100</v>
      </c>
      <c r="J779" s="585">
        <v>0</v>
      </c>
      <c r="K779" s="595">
        <v>44950</v>
      </c>
      <c r="L779" s="596">
        <v>1846513</v>
      </c>
      <c r="M779" s="584" t="s">
        <v>100</v>
      </c>
      <c r="N779" s="584" t="s">
        <v>100</v>
      </c>
      <c r="O779" s="584" t="s">
        <v>1646</v>
      </c>
      <c r="P779" s="586" t="s">
        <v>100</v>
      </c>
    </row>
    <row r="780" spans="1:16" ht="15">
      <c r="A780" s="591">
        <v>44950</v>
      </c>
      <c r="B780" s="580" t="s">
        <v>1811</v>
      </c>
      <c r="C780" s="580" t="s">
        <v>430</v>
      </c>
      <c r="D780" s="580" t="s">
        <v>1723</v>
      </c>
      <c r="E780" s="580" t="s">
        <v>100</v>
      </c>
      <c r="F780" s="580" t="s">
        <v>436</v>
      </c>
      <c r="G780" s="581">
        <v>-400</v>
      </c>
      <c r="H780" s="580" t="s">
        <v>1641</v>
      </c>
      <c r="I780" s="580" t="s">
        <v>100</v>
      </c>
      <c r="J780" s="581">
        <v>0</v>
      </c>
      <c r="K780" s="592">
        <v>44950</v>
      </c>
      <c r="L780" s="593">
        <v>1846511</v>
      </c>
      <c r="M780" s="580" t="s">
        <v>100</v>
      </c>
      <c r="N780" s="580" t="s">
        <v>100</v>
      </c>
      <c r="O780" s="580" t="s">
        <v>1646</v>
      </c>
      <c r="P780" s="582" t="s">
        <v>100</v>
      </c>
    </row>
    <row r="781" spans="1:16" ht="15">
      <c r="A781" s="594">
        <v>44950</v>
      </c>
      <c r="B781" s="584" t="s">
        <v>1812</v>
      </c>
      <c r="C781" s="584" t="s">
        <v>430</v>
      </c>
      <c r="D781" s="584" t="s">
        <v>1723</v>
      </c>
      <c r="E781" s="584" t="s">
        <v>100</v>
      </c>
      <c r="F781" s="584" t="s">
        <v>436</v>
      </c>
      <c r="G781" s="585">
        <v>-400</v>
      </c>
      <c r="H781" s="584" t="s">
        <v>1641</v>
      </c>
      <c r="I781" s="584" t="s">
        <v>100</v>
      </c>
      <c r="J781" s="585">
        <v>0</v>
      </c>
      <c r="K781" s="595">
        <v>44950</v>
      </c>
      <c r="L781" s="596">
        <v>1846509</v>
      </c>
      <c r="M781" s="584" t="s">
        <v>100</v>
      </c>
      <c r="N781" s="584" t="s">
        <v>100</v>
      </c>
      <c r="O781" s="584" t="s">
        <v>1646</v>
      </c>
      <c r="P781" s="586" t="s">
        <v>100</v>
      </c>
    </row>
    <row r="782" spans="1:16" ht="15">
      <c r="A782" s="591">
        <v>44950</v>
      </c>
      <c r="B782" s="580" t="s">
        <v>1813</v>
      </c>
      <c r="C782" s="580" t="s">
        <v>430</v>
      </c>
      <c r="D782" s="580" t="s">
        <v>1723</v>
      </c>
      <c r="E782" s="580" t="s">
        <v>100</v>
      </c>
      <c r="F782" s="580" t="s">
        <v>436</v>
      </c>
      <c r="G782" s="581">
        <v>-400</v>
      </c>
      <c r="H782" s="580" t="s">
        <v>1641</v>
      </c>
      <c r="I782" s="580" t="s">
        <v>100</v>
      </c>
      <c r="J782" s="581">
        <v>0</v>
      </c>
      <c r="K782" s="592">
        <v>44950</v>
      </c>
      <c r="L782" s="593">
        <v>1846507</v>
      </c>
      <c r="M782" s="580" t="s">
        <v>100</v>
      </c>
      <c r="N782" s="580" t="s">
        <v>100</v>
      </c>
      <c r="O782" s="580" t="s">
        <v>1646</v>
      </c>
      <c r="P782" s="582" t="s">
        <v>100</v>
      </c>
    </row>
    <row r="783" spans="1:16" ht="15">
      <c r="A783" s="594">
        <v>44950</v>
      </c>
      <c r="B783" s="584" t="s">
        <v>1814</v>
      </c>
      <c r="C783" s="584" t="s">
        <v>430</v>
      </c>
      <c r="D783" s="584" t="s">
        <v>1723</v>
      </c>
      <c r="E783" s="584" t="s">
        <v>100</v>
      </c>
      <c r="F783" s="584" t="s">
        <v>436</v>
      </c>
      <c r="G783" s="585">
        <v>-400</v>
      </c>
      <c r="H783" s="584" t="s">
        <v>1641</v>
      </c>
      <c r="I783" s="584" t="s">
        <v>100</v>
      </c>
      <c r="J783" s="585">
        <v>0</v>
      </c>
      <c r="K783" s="595">
        <v>44950</v>
      </c>
      <c r="L783" s="596">
        <v>1846505</v>
      </c>
      <c r="M783" s="584" t="s">
        <v>100</v>
      </c>
      <c r="N783" s="584" t="s">
        <v>100</v>
      </c>
      <c r="O783" s="584" t="s">
        <v>1646</v>
      </c>
      <c r="P783" s="586" t="s">
        <v>100</v>
      </c>
    </row>
    <row r="784" spans="1:16" ht="15">
      <c r="A784" s="591">
        <v>44950</v>
      </c>
      <c r="B784" s="580" t="s">
        <v>1815</v>
      </c>
      <c r="C784" s="580" t="s">
        <v>430</v>
      </c>
      <c r="D784" s="580" t="s">
        <v>1723</v>
      </c>
      <c r="E784" s="580" t="s">
        <v>100</v>
      </c>
      <c r="F784" s="580" t="s">
        <v>436</v>
      </c>
      <c r="G784" s="581">
        <v>-400</v>
      </c>
      <c r="H784" s="580" t="s">
        <v>1641</v>
      </c>
      <c r="I784" s="580" t="s">
        <v>100</v>
      </c>
      <c r="J784" s="581">
        <v>0</v>
      </c>
      <c r="K784" s="592">
        <v>44950</v>
      </c>
      <c r="L784" s="593">
        <v>1846503</v>
      </c>
      <c r="M784" s="580" t="s">
        <v>100</v>
      </c>
      <c r="N784" s="580" t="s">
        <v>100</v>
      </c>
      <c r="O784" s="580" t="s">
        <v>1646</v>
      </c>
      <c r="P784" s="582" t="s">
        <v>100</v>
      </c>
    </row>
    <row r="785" spans="1:16" ht="15">
      <c r="A785" s="594">
        <v>44950</v>
      </c>
      <c r="B785" s="584" t="s">
        <v>1816</v>
      </c>
      <c r="C785" s="584" t="s">
        <v>430</v>
      </c>
      <c r="D785" s="584" t="s">
        <v>1723</v>
      </c>
      <c r="E785" s="584" t="s">
        <v>100</v>
      </c>
      <c r="F785" s="584" t="s">
        <v>436</v>
      </c>
      <c r="G785" s="585">
        <v>-400</v>
      </c>
      <c r="H785" s="584" t="s">
        <v>1641</v>
      </c>
      <c r="I785" s="584" t="s">
        <v>100</v>
      </c>
      <c r="J785" s="585">
        <v>0</v>
      </c>
      <c r="K785" s="595">
        <v>44950</v>
      </c>
      <c r="L785" s="596">
        <v>1846501</v>
      </c>
      <c r="M785" s="584" t="s">
        <v>100</v>
      </c>
      <c r="N785" s="584" t="s">
        <v>100</v>
      </c>
      <c r="O785" s="584" t="s">
        <v>1646</v>
      </c>
      <c r="P785" s="586" t="s">
        <v>100</v>
      </c>
    </row>
    <row r="786" spans="1:16" ht="15">
      <c r="A786" s="591">
        <v>44950</v>
      </c>
      <c r="B786" s="580" t="s">
        <v>1817</v>
      </c>
      <c r="C786" s="580" t="s">
        <v>430</v>
      </c>
      <c r="D786" s="580" t="s">
        <v>1723</v>
      </c>
      <c r="E786" s="580" t="s">
        <v>100</v>
      </c>
      <c r="F786" s="580" t="s">
        <v>436</v>
      </c>
      <c r="G786" s="581">
        <v>-400</v>
      </c>
      <c r="H786" s="580" t="s">
        <v>1641</v>
      </c>
      <c r="I786" s="580" t="s">
        <v>100</v>
      </c>
      <c r="J786" s="581">
        <v>0</v>
      </c>
      <c r="K786" s="592">
        <v>44950</v>
      </c>
      <c r="L786" s="593">
        <v>1846499</v>
      </c>
      <c r="M786" s="580" t="s">
        <v>100</v>
      </c>
      <c r="N786" s="580" t="s">
        <v>100</v>
      </c>
      <c r="O786" s="580" t="s">
        <v>1646</v>
      </c>
      <c r="P786" s="582" t="s">
        <v>100</v>
      </c>
    </row>
    <row r="787" spans="1:16" ht="15">
      <c r="A787" s="594">
        <v>44950</v>
      </c>
      <c r="B787" s="584" t="s">
        <v>1818</v>
      </c>
      <c r="C787" s="584" t="s">
        <v>430</v>
      </c>
      <c r="D787" s="584" t="s">
        <v>1723</v>
      </c>
      <c r="E787" s="584" t="s">
        <v>100</v>
      </c>
      <c r="F787" s="584" t="s">
        <v>436</v>
      </c>
      <c r="G787" s="585">
        <v>-400</v>
      </c>
      <c r="H787" s="584" t="s">
        <v>1641</v>
      </c>
      <c r="I787" s="584" t="s">
        <v>100</v>
      </c>
      <c r="J787" s="585">
        <v>0</v>
      </c>
      <c r="K787" s="595">
        <v>44950</v>
      </c>
      <c r="L787" s="596">
        <v>1846497</v>
      </c>
      <c r="M787" s="584" t="s">
        <v>100</v>
      </c>
      <c r="N787" s="584" t="s">
        <v>100</v>
      </c>
      <c r="O787" s="584" t="s">
        <v>1646</v>
      </c>
      <c r="P787" s="586" t="s">
        <v>100</v>
      </c>
    </row>
    <row r="788" spans="1:16" ht="15">
      <c r="A788" s="591">
        <v>44950</v>
      </c>
      <c r="B788" s="580" t="s">
        <v>1819</v>
      </c>
      <c r="C788" s="580" t="s">
        <v>430</v>
      </c>
      <c r="D788" s="580" t="s">
        <v>1723</v>
      </c>
      <c r="E788" s="580" t="s">
        <v>100</v>
      </c>
      <c r="F788" s="580" t="s">
        <v>436</v>
      </c>
      <c r="G788" s="581">
        <v>-400</v>
      </c>
      <c r="H788" s="580" t="s">
        <v>1641</v>
      </c>
      <c r="I788" s="580" t="s">
        <v>100</v>
      </c>
      <c r="J788" s="581">
        <v>0</v>
      </c>
      <c r="K788" s="592">
        <v>44950</v>
      </c>
      <c r="L788" s="593">
        <v>1846495</v>
      </c>
      <c r="M788" s="580" t="s">
        <v>100</v>
      </c>
      <c r="N788" s="580" t="s">
        <v>100</v>
      </c>
      <c r="O788" s="580" t="s">
        <v>1646</v>
      </c>
      <c r="P788" s="582" t="s">
        <v>100</v>
      </c>
    </row>
    <row r="789" spans="1:16" ht="15">
      <c r="A789" s="594">
        <v>44950</v>
      </c>
      <c r="B789" s="584" t="s">
        <v>1820</v>
      </c>
      <c r="C789" s="584" t="s">
        <v>430</v>
      </c>
      <c r="D789" s="584" t="s">
        <v>1723</v>
      </c>
      <c r="E789" s="584" t="s">
        <v>100</v>
      </c>
      <c r="F789" s="584" t="s">
        <v>436</v>
      </c>
      <c r="G789" s="585">
        <v>-400</v>
      </c>
      <c r="H789" s="584" t="s">
        <v>1641</v>
      </c>
      <c r="I789" s="584" t="s">
        <v>100</v>
      </c>
      <c r="J789" s="585">
        <v>0</v>
      </c>
      <c r="K789" s="595">
        <v>44950</v>
      </c>
      <c r="L789" s="596">
        <v>1846493</v>
      </c>
      <c r="M789" s="584" t="s">
        <v>100</v>
      </c>
      <c r="N789" s="584" t="s">
        <v>100</v>
      </c>
      <c r="O789" s="584" t="s">
        <v>1646</v>
      </c>
      <c r="P789" s="586" t="s">
        <v>100</v>
      </c>
    </row>
    <row r="790" spans="1:16" ht="15">
      <c r="A790" s="591">
        <v>44950</v>
      </c>
      <c r="B790" s="580" t="s">
        <v>1821</v>
      </c>
      <c r="C790" s="580" t="s">
        <v>430</v>
      </c>
      <c r="D790" s="580" t="s">
        <v>1723</v>
      </c>
      <c r="E790" s="580" t="s">
        <v>100</v>
      </c>
      <c r="F790" s="580" t="s">
        <v>436</v>
      </c>
      <c r="G790" s="581">
        <v>-400</v>
      </c>
      <c r="H790" s="580" t="s">
        <v>1641</v>
      </c>
      <c r="I790" s="580" t="s">
        <v>100</v>
      </c>
      <c r="J790" s="581">
        <v>0</v>
      </c>
      <c r="K790" s="592">
        <v>44950</v>
      </c>
      <c r="L790" s="593">
        <v>1846491</v>
      </c>
      <c r="M790" s="580" t="s">
        <v>100</v>
      </c>
      <c r="N790" s="580" t="s">
        <v>100</v>
      </c>
      <c r="O790" s="580" t="s">
        <v>1646</v>
      </c>
      <c r="P790" s="582" t="s">
        <v>100</v>
      </c>
    </row>
    <row r="791" spans="1:16" ht="15">
      <c r="A791" s="594">
        <v>44950</v>
      </c>
      <c r="B791" s="584" t="s">
        <v>1822</v>
      </c>
      <c r="C791" s="584" t="s">
        <v>430</v>
      </c>
      <c r="D791" s="584" t="s">
        <v>1723</v>
      </c>
      <c r="E791" s="584" t="s">
        <v>100</v>
      </c>
      <c r="F791" s="584" t="s">
        <v>436</v>
      </c>
      <c r="G791" s="585">
        <v>-400</v>
      </c>
      <c r="H791" s="584" t="s">
        <v>1641</v>
      </c>
      <c r="I791" s="584" t="s">
        <v>100</v>
      </c>
      <c r="J791" s="585">
        <v>0</v>
      </c>
      <c r="K791" s="595">
        <v>44950</v>
      </c>
      <c r="L791" s="596">
        <v>1846489</v>
      </c>
      <c r="M791" s="584" t="s">
        <v>100</v>
      </c>
      <c r="N791" s="584" t="s">
        <v>100</v>
      </c>
      <c r="O791" s="584" t="s">
        <v>1646</v>
      </c>
      <c r="P791" s="586" t="s">
        <v>100</v>
      </c>
    </row>
    <row r="792" spans="1:16" ht="15">
      <c r="A792" s="591">
        <v>44950</v>
      </c>
      <c r="B792" s="580" t="s">
        <v>1823</v>
      </c>
      <c r="C792" s="580" t="s">
        <v>430</v>
      </c>
      <c r="D792" s="580" t="s">
        <v>1723</v>
      </c>
      <c r="E792" s="580" t="s">
        <v>100</v>
      </c>
      <c r="F792" s="580" t="s">
        <v>436</v>
      </c>
      <c r="G792" s="581">
        <v>-400</v>
      </c>
      <c r="H792" s="580" t="s">
        <v>1641</v>
      </c>
      <c r="I792" s="580" t="s">
        <v>100</v>
      </c>
      <c r="J792" s="581">
        <v>0</v>
      </c>
      <c r="K792" s="592">
        <v>44950</v>
      </c>
      <c r="L792" s="593">
        <v>1846487</v>
      </c>
      <c r="M792" s="580" t="s">
        <v>100</v>
      </c>
      <c r="N792" s="580" t="s">
        <v>100</v>
      </c>
      <c r="O792" s="580" t="s">
        <v>1646</v>
      </c>
      <c r="P792" s="582" t="s">
        <v>100</v>
      </c>
    </row>
    <row r="793" spans="1:16" ht="15">
      <c r="A793" s="594">
        <v>44950</v>
      </c>
      <c r="B793" s="584" t="s">
        <v>1824</v>
      </c>
      <c r="C793" s="584" t="s">
        <v>430</v>
      </c>
      <c r="D793" s="584" t="s">
        <v>1723</v>
      </c>
      <c r="E793" s="584" t="s">
        <v>100</v>
      </c>
      <c r="F793" s="584" t="s">
        <v>436</v>
      </c>
      <c r="G793" s="585">
        <v>-400</v>
      </c>
      <c r="H793" s="584" t="s">
        <v>1641</v>
      </c>
      <c r="I793" s="584" t="s">
        <v>100</v>
      </c>
      <c r="J793" s="585">
        <v>0</v>
      </c>
      <c r="K793" s="595">
        <v>44950</v>
      </c>
      <c r="L793" s="596">
        <v>1846485</v>
      </c>
      <c r="M793" s="584" t="s">
        <v>100</v>
      </c>
      <c r="N793" s="584" t="s">
        <v>100</v>
      </c>
      <c r="O793" s="584" t="s">
        <v>1646</v>
      </c>
      <c r="P793" s="586" t="s">
        <v>100</v>
      </c>
    </row>
    <row r="794" spans="1:16" ht="15">
      <c r="A794" s="591">
        <v>44950</v>
      </c>
      <c r="B794" s="580" t="s">
        <v>1825</v>
      </c>
      <c r="C794" s="580" t="s">
        <v>430</v>
      </c>
      <c r="D794" s="580" t="s">
        <v>1723</v>
      </c>
      <c r="E794" s="580" t="s">
        <v>100</v>
      </c>
      <c r="F794" s="580" t="s">
        <v>436</v>
      </c>
      <c r="G794" s="581">
        <v>-400</v>
      </c>
      <c r="H794" s="580" t="s">
        <v>1641</v>
      </c>
      <c r="I794" s="580" t="s">
        <v>100</v>
      </c>
      <c r="J794" s="581">
        <v>0</v>
      </c>
      <c r="K794" s="592">
        <v>44950</v>
      </c>
      <c r="L794" s="593">
        <v>1846483</v>
      </c>
      <c r="M794" s="580" t="s">
        <v>100</v>
      </c>
      <c r="N794" s="580" t="s">
        <v>100</v>
      </c>
      <c r="O794" s="580" t="s">
        <v>1646</v>
      </c>
      <c r="P794" s="582" t="s">
        <v>100</v>
      </c>
    </row>
    <row r="795" spans="1:16" ht="15">
      <c r="A795" s="594">
        <v>44950</v>
      </c>
      <c r="B795" s="584" t="s">
        <v>1826</v>
      </c>
      <c r="C795" s="584" t="s">
        <v>430</v>
      </c>
      <c r="D795" s="584" t="s">
        <v>1723</v>
      </c>
      <c r="E795" s="584" t="s">
        <v>100</v>
      </c>
      <c r="F795" s="584" t="s">
        <v>436</v>
      </c>
      <c r="G795" s="585">
        <v>-400</v>
      </c>
      <c r="H795" s="584" t="s">
        <v>1641</v>
      </c>
      <c r="I795" s="584" t="s">
        <v>100</v>
      </c>
      <c r="J795" s="585">
        <v>0</v>
      </c>
      <c r="K795" s="595">
        <v>44950</v>
      </c>
      <c r="L795" s="596">
        <v>1846481</v>
      </c>
      <c r="M795" s="584" t="s">
        <v>100</v>
      </c>
      <c r="N795" s="584" t="s">
        <v>100</v>
      </c>
      <c r="O795" s="584" t="s">
        <v>1646</v>
      </c>
      <c r="P795" s="586" t="s">
        <v>100</v>
      </c>
    </row>
    <row r="796" spans="1:16" ht="15">
      <c r="A796" s="591">
        <v>44950</v>
      </c>
      <c r="B796" s="580" t="s">
        <v>1827</v>
      </c>
      <c r="C796" s="580" t="s">
        <v>430</v>
      </c>
      <c r="D796" s="580" t="s">
        <v>1723</v>
      </c>
      <c r="E796" s="580" t="s">
        <v>100</v>
      </c>
      <c r="F796" s="580" t="s">
        <v>436</v>
      </c>
      <c r="G796" s="581">
        <v>-400</v>
      </c>
      <c r="H796" s="580" t="s">
        <v>1641</v>
      </c>
      <c r="I796" s="580" t="s">
        <v>100</v>
      </c>
      <c r="J796" s="581">
        <v>0</v>
      </c>
      <c r="K796" s="592">
        <v>44950</v>
      </c>
      <c r="L796" s="593">
        <v>1846479</v>
      </c>
      <c r="M796" s="580" t="s">
        <v>100</v>
      </c>
      <c r="N796" s="580" t="s">
        <v>100</v>
      </c>
      <c r="O796" s="580" t="s">
        <v>1646</v>
      </c>
      <c r="P796" s="582" t="s">
        <v>100</v>
      </c>
    </row>
    <row r="797" spans="1:16" ht="15">
      <c r="A797" s="594">
        <v>44950</v>
      </c>
      <c r="B797" s="584" t="s">
        <v>1828</v>
      </c>
      <c r="C797" s="584" t="s">
        <v>430</v>
      </c>
      <c r="D797" s="584" t="s">
        <v>1723</v>
      </c>
      <c r="E797" s="584" t="s">
        <v>100</v>
      </c>
      <c r="F797" s="584" t="s">
        <v>436</v>
      </c>
      <c r="G797" s="585">
        <v>-400</v>
      </c>
      <c r="H797" s="584" t="s">
        <v>1641</v>
      </c>
      <c r="I797" s="584" t="s">
        <v>100</v>
      </c>
      <c r="J797" s="585">
        <v>0</v>
      </c>
      <c r="K797" s="595">
        <v>44950</v>
      </c>
      <c r="L797" s="596">
        <v>1846477</v>
      </c>
      <c r="M797" s="584" t="s">
        <v>100</v>
      </c>
      <c r="N797" s="584" t="s">
        <v>100</v>
      </c>
      <c r="O797" s="584" t="s">
        <v>1646</v>
      </c>
      <c r="P797" s="586" t="s">
        <v>100</v>
      </c>
    </row>
    <row r="798" spans="1:16" ht="15">
      <c r="A798" s="591">
        <v>44950</v>
      </c>
      <c r="B798" s="580" t="s">
        <v>1829</v>
      </c>
      <c r="C798" s="580" t="s">
        <v>430</v>
      </c>
      <c r="D798" s="580" t="s">
        <v>1723</v>
      </c>
      <c r="E798" s="580" t="s">
        <v>100</v>
      </c>
      <c r="F798" s="580" t="s">
        <v>436</v>
      </c>
      <c r="G798" s="581">
        <v>-400</v>
      </c>
      <c r="H798" s="580" t="s">
        <v>1641</v>
      </c>
      <c r="I798" s="580" t="s">
        <v>100</v>
      </c>
      <c r="J798" s="581">
        <v>0</v>
      </c>
      <c r="K798" s="592">
        <v>44950</v>
      </c>
      <c r="L798" s="593">
        <v>1846475</v>
      </c>
      <c r="M798" s="580" t="s">
        <v>100</v>
      </c>
      <c r="N798" s="580" t="s">
        <v>100</v>
      </c>
      <c r="O798" s="580" t="s">
        <v>1646</v>
      </c>
      <c r="P798" s="582" t="s">
        <v>100</v>
      </c>
    </row>
    <row r="799" spans="1:16" ht="15">
      <c r="A799" s="594">
        <v>44950</v>
      </c>
      <c r="B799" s="584" t="s">
        <v>1830</v>
      </c>
      <c r="C799" s="584" t="s">
        <v>430</v>
      </c>
      <c r="D799" s="584" t="s">
        <v>1723</v>
      </c>
      <c r="E799" s="584" t="s">
        <v>100</v>
      </c>
      <c r="F799" s="584" t="s">
        <v>436</v>
      </c>
      <c r="G799" s="585">
        <v>-400</v>
      </c>
      <c r="H799" s="584" t="s">
        <v>1641</v>
      </c>
      <c r="I799" s="584" t="s">
        <v>100</v>
      </c>
      <c r="J799" s="585">
        <v>0</v>
      </c>
      <c r="K799" s="595">
        <v>44950</v>
      </c>
      <c r="L799" s="596">
        <v>1846473</v>
      </c>
      <c r="M799" s="584" t="s">
        <v>100</v>
      </c>
      <c r="N799" s="584" t="s">
        <v>100</v>
      </c>
      <c r="O799" s="584" t="s">
        <v>1646</v>
      </c>
      <c r="P799" s="586" t="s">
        <v>100</v>
      </c>
    </row>
    <row r="800" spans="1:16" ht="15">
      <c r="A800" s="591">
        <v>44950</v>
      </c>
      <c r="B800" s="580" t="s">
        <v>1831</v>
      </c>
      <c r="C800" s="580" t="s">
        <v>430</v>
      </c>
      <c r="D800" s="580" t="s">
        <v>1723</v>
      </c>
      <c r="E800" s="580" t="s">
        <v>100</v>
      </c>
      <c r="F800" s="580" t="s">
        <v>436</v>
      </c>
      <c r="G800" s="581">
        <v>-400</v>
      </c>
      <c r="H800" s="580" t="s">
        <v>1641</v>
      </c>
      <c r="I800" s="580" t="s">
        <v>100</v>
      </c>
      <c r="J800" s="581">
        <v>0</v>
      </c>
      <c r="K800" s="592">
        <v>44950</v>
      </c>
      <c r="L800" s="593">
        <v>1846471</v>
      </c>
      <c r="M800" s="580" t="s">
        <v>100</v>
      </c>
      <c r="N800" s="580" t="s">
        <v>100</v>
      </c>
      <c r="O800" s="580" t="s">
        <v>1646</v>
      </c>
      <c r="P800" s="582" t="s">
        <v>100</v>
      </c>
    </row>
    <row r="801" spans="1:16" ht="15">
      <c r="A801" s="594">
        <v>44950</v>
      </c>
      <c r="B801" s="584" t="s">
        <v>1832</v>
      </c>
      <c r="C801" s="584" t="s">
        <v>430</v>
      </c>
      <c r="D801" s="584" t="s">
        <v>1723</v>
      </c>
      <c r="E801" s="584" t="s">
        <v>100</v>
      </c>
      <c r="F801" s="584" t="s">
        <v>436</v>
      </c>
      <c r="G801" s="585">
        <v>-400</v>
      </c>
      <c r="H801" s="584" t="s">
        <v>1641</v>
      </c>
      <c r="I801" s="584" t="s">
        <v>100</v>
      </c>
      <c r="J801" s="585">
        <v>0</v>
      </c>
      <c r="K801" s="595">
        <v>44950</v>
      </c>
      <c r="L801" s="596">
        <v>1846469</v>
      </c>
      <c r="M801" s="584" t="s">
        <v>100</v>
      </c>
      <c r="N801" s="584" t="s">
        <v>100</v>
      </c>
      <c r="O801" s="584" t="s">
        <v>1646</v>
      </c>
      <c r="P801" s="586" t="s">
        <v>100</v>
      </c>
    </row>
    <row r="802" spans="1:16" ht="15">
      <c r="A802" s="591">
        <v>44950</v>
      </c>
      <c r="B802" s="580" t="s">
        <v>1833</v>
      </c>
      <c r="C802" s="580" t="s">
        <v>430</v>
      </c>
      <c r="D802" s="580" t="s">
        <v>1723</v>
      </c>
      <c r="E802" s="580" t="s">
        <v>100</v>
      </c>
      <c r="F802" s="580" t="s">
        <v>436</v>
      </c>
      <c r="G802" s="581">
        <v>-400</v>
      </c>
      <c r="H802" s="580" t="s">
        <v>1641</v>
      </c>
      <c r="I802" s="580" t="s">
        <v>100</v>
      </c>
      <c r="J802" s="581">
        <v>0</v>
      </c>
      <c r="K802" s="592">
        <v>44950</v>
      </c>
      <c r="L802" s="593">
        <v>1846467</v>
      </c>
      <c r="M802" s="580" t="s">
        <v>100</v>
      </c>
      <c r="N802" s="580" t="s">
        <v>100</v>
      </c>
      <c r="O802" s="580" t="s">
        <v>1646</v>
      </c>
      <c r="P802" s="582" t="s">
        <v>100</v>
      </c>
    </row>
    <row r="803" spans="1:16" ht="15">
      <c r="A803" s="594">
        <v>44950</v>
      </c>
      <c r="B803" s="584" t="s">
        <v>1834</v>
      </c>
      <c r="C803" s="584" t="s">
        <v>430</v>
      </c>
      <c r="D803" s="584" t="s">
        <v>1723</v>
      </c>
      <c r="E803" s="584" t="s">
        <v>100</v>
      </c>
      <c r="F803" s="584" t="s">
        <v>436</v>
      </c>
      <c r="G803" s="585">
        <v>-400</v>
      </c>
      <c r="H803" s="584" t="s">
        <v>1641</v>
      </c>
      <c r="I803" s="584" t="s">
        <v>100</v>
      </c>
      <c r="J803" s="585">
        <v>0</v>
      </c>
      <c r="K803" s="595">
        <v>44950</v>
      </c>
      <c r="L803" s="596">
        <v>1846465</v>
      </c>
      <c r="M803" s="584" t="s">
        <v>100</v>
      </c>
      <c r="N803" s="584" t="s">
        <v>100</v>
      </c>
      <c r="O803" s="584" t="s">
        <v>1646</v>
      </c>
      <c r="P803" s="586" t="s">
        <v>100</v>
      </c>
    </row>
    <row r="804" spans="1:16" ht="15">
      <c r="A804" s="591">
        <v>44950</v>
      </c>
      <c r="B804" s="580" t="s">
        <v>1835</v>
      </c>
      <c r="C804" s="580" t="s">
        <v>430</v>
      </c>
      <c r="D804" s="580" t="s">
        <v>1723</v>
      </c>
      <c r="E804" s="580" t="s">
        <v>100</v>
      </c>
      <c r="F804" s="580" t="s">
        <v>436</v>
      </c>
      <c r="G804" s="581">
        <v>-400</v>
      </c>
      <c r="H804" s="580" t="s">
        <v>1641</v>
      </c>
      <c r="I804" s="580" t="s">
        <v>100</v>
      </c>
      <c r="J804" s="581">
        <v>0</v>
      </c>
      <c r="K804" s="592">
        <v>44950</v>
      </c>
      <c r="L804" s="593">
        <v>1846463</v>
      </c>
      <c r="M804" s="580" t="s">
        <v>100</v>
      </c>
      <c r="N804" s="580" t="s">
        <v>100</v>
      </c>
      <c r="O804" s="580" t="s">
        <v>1646</v>
      </c>
      <c r="P804" s="582" t="s">
        <v>100</v>
      </c>
    </row>
    <row r="805" spans="1:16" ht="15">
      <c r="A805" s="594">
        <v>44950</v>
      </c>
      <c r="B805" s="584" t="s">
        <v>1836</v>
      </c>
      <c r="C805" s="584" t="s">
        <v>430</v>
      </c>
      <c r="D805" s="584" t="s">
        <v>1723</v>
      </c>
      <c r="E805" s="584" t="s">
        <v>100</v>
      </c>
      <c r="F805" s="584" t="s">
        <v>436</v>
      </c>
      <c r="G805" s="585">
        <v>-400</v>
      </c>
      <c r="H805" s="584" t="s">
        <v>1641</v>
      </c>
      <c r="I805" s="584" t="s">
        <v>100</v>
      </c>
      <c r="J805" s="585">
        <v>0</v>
      </c>
      <c r="K805" s="595">
        <v>44950</v>
      </c>
      <c r="L805" s="596">
        <v>1846461</v>
      </c>
      <c r="M805" s="584" t="s">
        <v>100</v>
      </c>
      <c r="N805" s="584" t="s">
        <v>100</v>
      </c>
      <c r="O805" s="584" t="s">
        <v>1646</v>
      </c>
      <c r="P805" s="586" t="s">
        <v>100</v>
      </c>
    </row>
    <row r="806" spans="1:16" ht="15">
      <c r="A806" s="591">
        <v>44950</v>
      </c>
      <c r="B806" s="580" t="s">
        <v>1837</v>
      </c>
      <c r="C806" s="580" t="s">
        <v>430</v>
      </c>
      <c r="D806" s="580" t="s">
        <v>1723</v>
      </c>
      <c r="E806" s="580" t="s">
        <v>100</v>
      </c>
      <c r="F806" s="580" t="s">
        <v>436</v>
      </c>
      <c r="G806" s="581">
        <v>-400</v>
      </c>
      <c r="H806" s="580" t="s">
        <v>1641</v>
      </c>
      <c r="I806" s="580" t="s">
        <v>100</v>
      </c>
      <c r="J806" s="581">
        <v>0</v>
      </c>
      <c r="K806" s="592">
        <v>44950</v>
      </c>
      <c r="L806" s="593">
        <v>1846459</v>
      </c>
      <c r="M806" s="580" t="s">
        <v>100</v>
      </c>
      <c r="N806" s="580" t="s">
        <v>100</v>
      </c>
      <c r="O806" s="580" t="s">
        <v>1646</v>
      </c>
      <c r="P806" s="582" t="s">
        <v>100</v>
      </c>
    </row>
    <row r="807" spans="1:16" ht="15">
      <c r="A807" s="594">
        <v>44950</v>
      </c>
      <c r="B807" s="584" t="s">
        <v>1838</v>
      </c>
      <c r="C807" s="584" t="s">
        <v>430</v>
      </c>
      <c r="D807" s="584" t="s">
        <v>1723</v>
      </c>
      <c r="E807" s="584" t="s">
        <v>100</v>
      </c>
      <c r="F807" s="584" t="s">
        <v>436</v>
      </c>
      <c r="G807" s="585">
        <v>-400</v>
      </c>
      <c r="H807" s="584" t="s">
        <v>1641</v>
      </c>
      <c r="I807" s="584" t="s">
        <v>100</v>
      </c>
      <c r="J807" s="585">
        <v>0</v>
      </c>
      <c r="K807" s="595">
        <v>44950</v>
      </c>
      <c r="L807" s="596">
        <v>1846457</v>
      </c>
      <c r="M807" s="584" t="s">
        <v>100</v>
      </c>
      <c r="N807" s="584" t="s">
        <v>100</v>
      </c>
      <c r="O807" s="584" t="s">
        <v>1646</v>
      </c>
      <c r="P807" s="586" t="s">
        <v>100</v>
      </c>
    </row>
    <row r="808" spans="1:16" ht="15">
      <c r="A808" s="591">
        <v>44950</v>
      </c>
      <c r="B808" s="580" t="s">
        <v>1839</v>
      </c>
      <c r="C808" s="580" t="s">
        <v>430</v>
      </c>
      <c r="D808" s="580" t="s">
        <v>1723</v>
      </c>
      <c r="E808" s="580" t="s">
        <v>100</v>
      </c>
      <c r="F808" s="580" t="s">
        <v>436</v>
      </c>
      <c r="G808" s="581">
        <v>-400</v>
      </c>
      <c r="H808" s="580" t="s">
        <v>1641</v>
      </c>
      <c r="I808" s="580" t="s">
        <v>100</v>
      </c>
      <c r="J808" s="581">
        <v>0</v>
      </c>
      <c r="K808" s="592">
        <v>44950</v>
      </c>
      <c r="L808" s="593">
        <v>1846455</v>
      </c>
      <c r="M808" s="580" t="s">
        <v>100</v>
      </c>
      <c r="N808" s="580" t="s">
        <v>100</v>
      </c>
      <c r="O808" s="580" t="s">
        <v>1646</v>
      </c>
      <c r="P808" s="582" t="s">
        <v>100</v>
      </c>
    </row>
    <row r="809" spans="1:16" ht="15">
      <c r="A809" s="594">
        <v>44950</v>
      </c>
      <c r="B809" s="584" t="s">
        <v>1840</v>
      </c>
      <c r="C809" s="584" t="s">
        <v>430</v>
      </c>
      <c r="D809" s="584" t="s">
        <v>1723</v>
      </c>
      <c r="E809" s="584" t="s">
        <v>100</v>
      </c>
      <c r="F809" s="584" t="s">
        <v>436</v>
      </c>
      <c r="G809" s="585">
        <v>-400</v>
      </c>
      <c r="H809" s="584" t="s">
        <v>1641</v>
      </c>
      <c r="I809" s="584" t="s">
        <v>100</v>
      </c>
      <c r="J809" s="585">
        <v>0</v>
      </c>
      <c r="K809" s="595">
        <v>44950</v>
      </c>
      <c r="L809" s="596">
        <v>1846453</v>
      </c>
      <c r="M809" s="584" t="s">
        <v>100</v>
      </c>
      <c r="N809" s="584" t="s">
        <v>100</v>
      </c>
      <c r="O809" s="584" t="s">
        <v>1646</v>
      </c>
      <c r="P809" s="586" t="s">
        <v>100</v>
      </c>
    </row>
    <row r="810" spans="1:16" ht="15">
      <c r="A810" s="591">
        <v>44950</v>
      </c>
      <c r="B810" s="580" t="s">
        <v>1841</v>
      </c>
      <c r="C810" s="580" t="s">
        <v>430</v>
      </c>
      <c r="D810" s="580" t="s">
        <v>1723</v>
      </c>
      <c r="E810" s="580" t="s">
        <v>100</v>
      </c>
      <c r="F810" s="580" t="s">
        <v>436</v>
      </c>
      <c r="G810" s="581">
        <v>-400</v>
      </c>
      <c r="H810" s="580" t="s">
        <v>1641</v>
      </c>
      <c r="I810" s="580" t="s">
        <v>100</v>
      </c>
      <c r="J810" s="581">
        <v>0</v>
      </c>
      <c r="K810" s="592">
        <v>44950</v>
      </c>
      <c r="L810" s="593">
        <v>1846451</v>
      </c>
      <c r="M810" s="580" t="s">
        <v>100</v>
      </c>
      <c r="N810" s="580" t="s">
        <v>100</v>
      </c>
      <c r="O810" s="580" t="s">
        <v>1646</v>
      </c>
      <c r="P810" s="582" t="s">
        <v>100</v>
      </c>
    </row>
    <row r="811" spans="1:16" ht="15">
      <c r="A811" s="594">
        <v>44950</v>
      </c>
      <c r="B811" s="584" t="s">
        <v>1842</v>
      </c>
      <c r="C811" s="584" t="s">
        <v>430</v>
      </c>
      <c r="D811" s="584" t="s">
        <v>1723</v>
      </c>
      <c r="E811" s="584" t="s">
        <v>100</v>
      </c>
      <c r="F811" s="584" t="s">
        <v>436</v>
      </c>
      <c r="G811" s="585">
        <v>-400</v>
      </c>
      <c r="H811" s="584" t="s">
        <v>1641</v>
      </c>
      <c r="I811" s="584" t="s">
        <v>100</v>
      </c>
      <c r="J811" s="585">
        <v>0</v>
      </c>
      <c r="K811" s="595">
        <v>44950</v>
      </c>
      <c r="L811" s="596">
        <v>1846449</v>
      </c>
      <c r="M811" s="584" t="s">
        <v>100</v>
      </c>
      <c r="N811" s="584" t="s">
        <v>100</v>
      </c>
      <c r="O811" s="584" t="s">
        <v>1646</v>
      </c>
      <c r="P811" s="586" t="s">
        <v>100</v>
      </c>
    </row>
    <row r="812" spans="1:16" ht="15">
      <c r="A812" s="591">
        <v>44950</v>
      </c>
      <c r="B812" s="580" t="s">
        <v>1843</v>
      </c>
      <c r="C812" s="580" t="s">
        <v>430</v>
      </c>
      <c r="D812" s="580" t="s">
        <v>1723</v>
      </c>
      <c r="E812" s="580" t="s">
        <v>100</v>
      </c>
      <c r="F812" s="580" t="s">
        <v>436</v>
      </c>
      <c r="G812" s="581">
        <v>-400</v>
      </c>
      <c r="H812" s="580" t="s">
        <v>1641</v>
      </c>
      <c r="I812" s="580" t="s">
        <v>100</v>
      </c>
      <c r="J812" s="581">
        <v>0</v>
      </c>
      <c r="K812" s="592">
        <v>44950</v>
      </c>
      <c r="L812" s="593">
        <v>1846447</v>
      </c>
      <c r="M812" s="580" t="s">
        <v>100</v>
      </c>
      <c r="N812" s="580" t="s">
        <v>100</v>
      </c>
      <c r="O812" s="580" t="s">
        <v>1646</v>
      </c>
      <c r="P812" s="582" t="s">
        <v>100</v>
      </c>
    </row>
    <row r="813" spans="1:16" ht="15">
      <c r="A813" s="594">
        <v>44950</v>
      </c>
      <c r="B813" s="584" t="s">
        <v>1844</v>
      </c>
      <c r="C813" s="584" t="s">
        <v>430</v>
      </c>
      <c r="D813" s="584" t="s">
        <v>1723</v>
      </c>
      <c r="E813" s="584" t="s">
        <v>100</v>
      </c>
      <c r="F813" s="584" t="s">
        <v>436</v>
      </c>
      <c r="G813" s="585">
        <v>-400</v>
      </c>
      <c r="H813" s="584" t="s">
        <v>1641</v>
      </c>
      <c r="I813" s="584" t="s">
        <v>100</v>
      </c>
      <c r="J813" s="585">
        <v>0</v>
      </c>
      <c r="K813" s="595">
        <v>44950</v>
      </c>
      <c r="L813" s="596">
        <v>1846445</v>
      </c>
      <c r="M813" s="584" t="s">
        <v>100</v>
      </c>
      <c r="N813" s="584" t="s">
        <v>100</v>
      </c>
      <c r="O813" s="584" t="s">
        <v>1646</v>
      </c>
      <c r="P813" s="586" t="s">
        <v>100</v>
      </c>
    </row>
    <row r="814" spans="1:16" ht="15">
      <c r="A814" s="591">
        <v>44950</v>
      </c>
      <c r="B814" s="580" t="s">
        <v>1845</v>
      </c>
      <c r="C814" s="580" t="s">
        <v>430</v>
      </c>
      <c r="D814" s="580" t="s">
        <v>1723</v>
      </c>
      <c r="E814" s="580" t="s">
        <v>100</v>
      </c>
      <c r="F814" s="580" t="s">
        <v>436</v>
      </c>
      <c r="G814" s="581">
        <v>-400</v>
      </c>
      <c r="H814" s="580" t="s">
        <v>1641</v>
      </c>
      <c r="I814" s="580" t="s">
        <v>100</v>
      </c>
      <c r="J814" s="581">
        <v>0</v>
      </c>
      <c r="K814" s="592">
        <v>44950</v>
      </c>
      <c r="L814" s="593">
        <v>1846443</v>
      </c>
      <c r="M814" s="580" t="s">
        <v>100</v>
      </c>
      <c r="N814" s="580" t="s">
        <v>100</v>
      </c>
      <c r="O814" s="580" t="s">
        <v>1646</v>
      </c>
      <c r="P814" s="582" t="s">
        <v>100</v>
      </c>
    </row>
    <row r="815" spans="1:16" ht="15">
      <c r="A815" s="594">
        <v>44950</v>
      </c>
      <c r="B815" s="584" t="s">
        <v>1846</v>
      </c>
      <c r="C815" s="584" t="s">
        <v>430</v>
      </c>
      <c r="D815" s="584" t="s">
        <v>1723</v>
      </c>
      <c r="E815" s="584" t="s">
        <v>100</v>
      </c>
      <c r="F815" s="584" t="s">
        <v>436</v>
      </c>
      <c r="G815" s="585">
        <v>-400</v>
      </c>
      <c r="H815" s="584" t="s">
        <v>1641</v>
      </c>
      <c r="I815" s="584" t="s">
        <v>100</v>
      </c>
      <c r="J815" s="585">
        <v>0</v>
      </c>
      <c r="K815" s="595">
        <v>44950</v>
      </c>
      <c r="L815" s="596">
        <v>1846441</v>
      </c>
      <c r="M815" s="584" t="s">
        <v>100</v>
      </c>
      <c r="N815" s="584" t="s">
        <v>100</v>
      </c>
      <c r="O815" s="584" t="s">
        <v>1646</v>
      </c>
      <c r="P815" s="586" t="s">
        <v>100</v>
      </c>
    </row>
    <row r="816" spans="1:16" ht="15">
      <c r="A816" s="591">
        <v>44950</v>
      </c>
      <c r="B816" s="580" t="s">
        <v>1847</v>
      </c>
      <c r="C816" s="580" t="s">
        <v>430</v>
      </c>
      <c r="D816" s="580" t="s">
        <v>1723</v>
      </c>
      <c r="E816" s="580" t="s">
        <v>100</v>
      </c>
      <c r="F816" s="580" t="s">
        <v>436</v>
      </c>
      <c r="G816" s="581">
        <v>-400</v>
      </c>
      <c r="H816" s="580" t="s">
        <v>1641</v>
      </c>
      <c r="I816" s="580" t="s">
        <v>100</v>
      </c>
      <c r="J816" s="581">
        <v>0</v>
      </c>
      <c r="K816" s="592">
        <v>44950</v>
      </c>
      <c r="L816" s="593">
        <v>1846439</v>
      </c>
      <c r="M816" s="580" t="s">
        <v>100</v>
      </c>
      <c r="N816" s="580" t="s">
        <v>100</v>
      </c>
      <c r="O816" s="580" t="s">
        <v>1646</v>
      </c>
      <c r="P816" s="582" t="s">
        <v>100</v>
      </c>
    </row>
    <row r="817" spans="1:16" ht="15">
      <c r="A817" s="594">
        <v>44950</v>
      </c>
      <c r="B817" s="584" t="s">
        <v>1848</v>
      </c>
      <c r="C817" s="584" t="s">
        <v>430</v>
      </c>
      <c r="D817" s="584" t="s">
        <v>1723</v>
      </c>
      <c r="E817" s="584" t="s">
        <v>100</v>
      </c>
      <c r="F817" s="584" t="s">
        <v>436</v>
      </c>
      <c r="G817" s="585">
        <v>-400</v>
      </c>
      <c r="H817" s="584" t="s">
        <v>1641</v>
      </c>
      <c r="I817" s="584" t="s">
        <v>100</v>
      </c>
      <c r="J817" s="585">
        <v>0</v>
      </c>
      <c r="K817" s="595">
        <v>44950</v>
      </c>
      <c r="L817" s="596">
        <v>1846437</v>
      </c>
      <c r="M817" s="584" t="s">
        <v>100</v>
      </c>
      <c r="N817" s="584" t="s">
        <v>100</v>
      </c>
      <c r="O817" s="584" t="s">
        <v>1646</v>
      </c>
      <c r="P817" s="586" t="s">
        <v>100</v>
      </c>
    </row>
    <row r="818" spans="1:16" ht="15">
      <c r="A818" s="591">
        <v>44950</v>
      </c>
      <c r="B818" s="580" t="s">
        <v>1849</v>
      </c>
      <c r="C818" s="580" t="s">
        <v>430</v>
      </c>
      <c r="D818" s="580" t="s">
        <v>1723</v>
      </c>
      <c r="E818" s="580" t="s">
        <v>100</v>
      </c>
      <c r="F818" s="580" t="s">
        <v>436</v>
      </c>
      <c r="G818" s="581">
        <v>-400</v>
      </c>
      <c r="H818" s="580" t="s">
        <v>1641</v>
      </c>
      <c r="I818" s="580" t="s">
        <v>100</v>
      </c>
      <c r="J818" s="581">
        <v>0</v>
      </c>
      <c r="K818" s="592">
        <v>44950</v>
      </c>
      <c r="L818" s="593">
        <v>1846435</v>
      </c>
      <c r="M818" s="580" t="s">
        <v>100</v>
      </c>
      <c r="N818" s="580" t="s">
        <v>100</v>
      </c>
      <c r="O818" s="580" t="s">
        <v>1646</v>
      </c>
      <c r="P818" s="582" t="s">
        <v>100</v>
      </c>
    </row>
    <row r="819" spans="1:16" ht="15">
      <c r="A819" s="594">
        <v>44950</v>
      </c>
      <c r="B819" s="584" t="s">
        <v>1850</v>
      </c>
      <c r="C819" s="584" t="s">
        <v>430</v>
      </c>
      <c r="D819" s="584" t="s">
        <v>1723</v>
      </c>
      <c r="E819" s="584" t="s">
        <v>100</v>
      </c>
      <c r="F819" s="584" t="s">
        <v>436</v>
      </c>
      <c r="G819" s="585">
        <v>-400</v>
      </c>
      <c r="H819" s="584" t="s">
        <v>1641</v>
      </c>
      <c r="I819" s="584" t="s">
        <v>100</v>
      </c>
      <c r="J819" s="585">
        <v>0</v>
      </c>
      <c r="K819" s="595">
        <v>44950</v>
      </c>
      <c r="L819" s="596">
        <v>1846433</v>
      </c>
      <c r="M819" s="584" t="s">
        <v>100</v>
      </c>
      <c r="N819" s="584" t="s">
        <v>100</v>
      </c>
      <c r="O819" s="584" t="s">
        <v>1646</v>
      </c>
      <c r="P819" s="586" t="s">
        <v>100</v>
      </c>
    </row>
    <row r="820" spans="1:16" ht="15">
      <c r="A820" s="591">
        <v>44950</v>
      </c>
      <c r="B820" s="580" t="s">
        <v>1851</v>
      </c>
      <c r="C820" s="580" t="s">
        <v>430</v>
      </c>
      <c r="D820" s="580" t="s">
        <v>1723</v>
      </c>
      <c r="E820" s="580" t="s">
        <v>100</v>
      </c>
      <c r="F820" s="580" t="s">
        <v>436</v>
      </c>
      <c r="G820" s="581">
        <v>-400</v>
      </c>
      <c r="H820" s="580" t="s">
        <v>1641</v>
      </c>
      <c r="I820" s="580" t="s">
        <v>100</v>
      </c>
      <c r="J820" s="581">
        <v>0</v>
      </c>
      <c r="K820" s="592">
        <v>44950</v>
      </c>
      <c r="L820" s="593">
        <v>1846431</v>
      </c>
      <c r="M820" s="580" t="s">
        <v>100</v>
      </c>
      <c r="N820" s="580" t="s">
        <v>100</v>
      </c>
      <c r="O820" s="580" t="s">
        <v>1646</v>
      </c>
      <c r="P820" s="582" t="s">
        <v>100</v>
      </c>
    </row>
    <row r="821" spans="1:16" ht="15">
      <c r="A821" s="594">
        <v>44950</v>
      </c>
      <c r="B821" s="584" t="s">
        <v>1852</v>
      </c>
      <c r="C821" s="584" t="s">
        <v>430</v>
      </c>
      <c r="D821" s="584" t="s">
        <v>1723</v>
      </c>
      <c r="E821" s="584" t="s">
        <v>100</v>
      </c>
      <c r="F821" s="584" t="s">
        <v>436</v>
      </c>
      <c r="G821" s="585">
        <v>-400</v>
      </c>
      <c r="H821" s="584" t="s">
        <v>1641</v>
      </c>
      <c r="I821" s="584" t="s">
        <v>100</v>
      </c>
      <c r="J821" s="585">
        <v>0</v>
      </c>
      <c r="K821" s="595">
        <v>44950</v>
      </c>
      <c r="L821" s="596">
        <v>1846429</v>
      </c>
      <c r="M821" s="584" t="s">
        <v>100</v>
      </c>
      <c r="N821" s="584" t="s">
        <v>100</v>
      </c>
      <c r="O821" s="584" t="s">
        <v>1646</v>
      </c>
      <c r="P821" s="586" t="s">
        <v>100</v>
      </c>
    </row>
    <row r="822" spans="1:16" ht="15">
      <c r="A822" s="591">
        <v>44950</v>
      </c>
      <c r="B822" s="580" t="s">
        <v>1853</v>
      </c>
      <c r="C822" s="580" t="s">
        <v>430</v>
      </c>
      <c r="D822" s="580" t="s">
        <v>1723</v>
      </c>
      <c r="E822" s="580" t="s">
        <v>100</v>
      </c>
      <c r="F822" s="580" t="s">
        <v>436</v>
      </c>
      <c r="G822" s="581">
        <v>-400</v>
      </c>
      <c r="H822" s="580" t="s">
        <v>1641</v>
      </c>
      <c r="I822" s="580" t="s">
        <v>100</v>
      </c>
      <c r="J822" s="581">
        <v>0</v>
      </c>
      <c r="K822" s="592">
        <v>44950</v>
      </c>
      <c r="L822" s="593">
        <v>1846427</v>
      </c>
      <c r="M822" s="580" t="s">
        <v>100</v>
      </c>
      <c r="N822" s="580" t="s">
        <v>100</v>
      </c>
      <c r="O822" s="580" t="s">
        <v>1646</v>
      </c>
      <c r="P822" s="582" t="s">
        <v>100</v>
      </c>
    </row>
    <row r="823" spans="1:16" ht="15">
      <c r="A823" s="594">
        <v>44950</v>
      </c>
      <c r="B823" s="584" t="s">
        <v>1854</v>
      </c>
      <c r="C823" s="584" t="s">
        <v>430</v>
      </c>
      <c r="D823" s="584" t="s">
        <v>1723</v>
      </c>
      <c r="E823" s="584" t="s">
        <v>100</v>
      </c>
      <c r="F823" s="584" t="s">
        <v>436</v>
      </c>
      <c r="G823" s="585">
        <v>-400</v>
      </c>
      <c r="H823" s="584" t="s">
        <v>1641</v>
      </c>
      <c r="I823" s="584" t="s">
        <v>100</v>
      </c>
      <c r="J823" s="585">
        <v>0</v>
      </c>
      <c r="K823" s="595">
        <v>44950</v>
      </c>
      <c r="L823" s="596">
        <v>1846425</v>
      </c>
      <c r="M823" s="584" t="s">
        <v>100</v>
      </c>
      <c r="N823" s="584" t="s">
        <v>100</v>
      </c>
      <c r="O823" s="584" t="s">
        <v>1646</v>
      </c>
      <c r="P823" s="586" t="s">
        <v>100</v>
      </c>
    </row>
    <row r="824" spans="1:16" ht="15">
      <c r="A824" s="591">
        <v>44950</v>
      </c>
      <c r="B824" s="580" t="s">
        <v>1855</v>
      </c>
      <c r="C824" s="580" t="s">
        <v>430</v>
      </c>
      <c r="D824" s="580" t="s">
        <v>1723</v>
      </c>
      <c r="E824" s="580" t="s">
        <v>100</v>
      </c>
      <c r="F824" s="580" t="s">
        <v>436</v>
      </c>
      <c r="G824" s="581">
        <v>-400</v>
      </c>
      <c r="H824" s="580" t="s">
        <v>1641</v>
      </c>
      <c r="I824" s="580" t="s">
        <v>100</v>
      </c>
      <c r="J824" s="581">
        <v>0</v>
      </c>
      <c r="K824" s="592">
        <v>44950</v>
      </c>
      <c r="L824" s="593">
        <v>1846423</v>
      </c>
      <c r="M824" s="580" t="s">
        <v>100</v>
      </c>
      <c r="N824" s="580" t="s">
        <v>100</v>
      </c>
      <c r="O824" s="580" t="s">
        <v>1646</v>
      </c>
      <c r="P824" s="582" t="s">
        <v>100</v>
      </c>
    </row>
    <row r="825" spans="1:16" ht="15">
      <c r="A825" s="594">
        <v>44950</v>
      </c>
      <c r="B825" s="584" t="s">
        <v>1856</v>
      </c>
      <c r="C825" s="584" t="s">
        <v>430</v>
      </c>
      <c r="D825" s="584" t="s">
        <v>1723</v>
      </c>
      <c r="E825" s="584" t="s">
        <v>100</v>
      </c>
      <c r="F825" s="584" t="s">
        <v>436</v>
      </c>
      <c r="G825" s="585">
        <v>-400</v>
      </c>
      <c r="H825" s="584" t="s">
        <v>1641</v>
      </c>
      <c r="I825" s="584" t="s">
        <v>100</v>
      </c>
      <c r="J825" s="585">
        <v>0</v>
      </c>
      <c r="K825" s="595">
        <v>44950</v>
      </c>
      <c r="L825" s="596">
        <v>1846421</v>
      </c>
      <c r="M825" s="584" t="s">
        <v>100</v>
      </c>
      <c r="N825" s="584" t="s">
        <v>100</v>
      </c>
      <c r="O825" s="584" t="s">
        <v>1646</v>
      </c>
      <c r="P825" s="586" t="s">
        <v>100</v>
      </c>
    </row>
    <row r="826" spans="1:16" ht="15">
      <c r="A826" s="591">
        <v>44950</v>
      </c>
      <c r="B826" s="580" t="s">
        <v>1857</v>
      </c>
      <c r="C826" s="580" t="s">
        <v>430</v>
      </c>
      <c r="D826" s="580" t="s">
        <v>1723</v>
      </c>
      <c r="E826" s="580" t="s">
        <v>100</v>
      </c>
      <c r="F826" s="580" t="s">
        <v>436</v>
      </c>
      <c r="G826" s="581">
        <v>-400</v>
      </c>
      <c r="H826" s="580" t="s">
        <v>1641</v>
      </c>
      <c r="I826" s="580" t="s">
        <v>100</v>
      </c>
      <c r="J826" s="581">
        <v>0</v>
      </c>
      <c r="K826" s="592">
        <v>44950</v>
      </c>
      <c r="L826" s="593">
        <v>1846419</v>
      </c>
      <c r="M826" s="580" t="s">
        <v>100</v>
      </c>
      <c r="N826" s="580" t="s">
        <v>100</v>
      </c>
      <c r="O826" s="580" t="s">
        <v>1646</v>
      </c>
      <c r="P826" s="582" t="s">
        <v>100</v>
      </c>
    </row>
    <row r="827" spans="1:16" ht="15">
      <c r="A827" s="594">
        <v>44950</v>
      </c>
      <c r="B827" s="584" t="s">
        <v>1858</v>
      </c>
      <c r="C827" s="584" t="s">
        <v>430</v>
      </c>
      <c r="D827" s="584" t="s">
        <v>1723</v>
      </c>
      <c r="E827" s="584" t="s">
        <v>100</v>
      </c>
      <c r="F827" s="584" t="s">
        <v>436</v>
      </c>
      <c r="G827" s="585">
        <v>-400</v>
      </c>
      <c r="H827" s="584" t="s">
        <v>1641</v>
      </c>
      <c r="I827" s="584" t="s">
        <v>100</v>
      </c>
      <c r="J827" s="585">
        <v>0</v>
      </c>
      <c r="K827" s="595">
        <v>44950</v>
      </c>
      <c r="L827" s="596">
        <v>1846417</v>
      </c>
      <c r="M827" s="584" t="s">
        <v>100</v>
      </c>
      <c r="N827" s="584" t="s">
        <v>100</v>
      </c>
      <c r="O827" s="584" t="s">
        <v>1646</v>
      </c>
      <c r="P827" s="586" t="s">
        <v>100</v>
      </c>
    </row>
    <row r="828" spans="1:16" ht="15">
      <c r="A828" s="591">
        <v>44950</v>
      </c>
      <c r="B828" s="580" t="s">
        <v>1859</v>
      </c>
      <c r="C828" s="580" t="s">
        <v>430</v>
      </c>
      <c r="D828" s="580" t="s">
        <v>1723</v>
      </c>
      <c r="E828" s="580" t="s">
        <v>100</v>
      </c>
      <c r="F828" s="580" t="s">
        <v>436</v>
      </c>
      <c r="G828" s="581">
        <v>-400</v>
      </c>
      <c r="H828" s="580" t="s">
        <v>1641</v>
      </c>
      <c r="I828" s="580" t="s">
        <v>100</v>
      </c>
      <c r="J828" s="581">
        <v>0</v>
      </c>
      <c r="K828" s="592">
        <v>44950</v>
      </c>
      <c r="L828" s="593">
        <v>1846415</v>
      </c>
      <c r="M828" s="580" t="s">
        <v>100</v>
      </c>
      <c r="N828" s="580" t="s">
        <v>100</v>
      </c>
      <c r="O828" s="580" t="s">
        <v>1646</v>
      </c>
      <c r="P828" s="582" t="s">
        <v>100</v>
      </c>
    </row>
    <row r="829" spans="1:16" ht="15">
      <c r="A829" s="594">
        <v>44950</v>
      </c>
      <c r="B829" s="584" t="s">
        <v>1860</v>
      </c>
      <c r="C829" s="584" t="s">
        <v>430</v>
      </c>
      <c r="D829" s="584" t="s">
        <v>1723</v>
      </c>
      <c r="E829" s="584" t="s">
        <v>100</v>
      </c>
      <c r="F829" s="584" t="s">
        <v>436</v>
      </c>
      <c r="G829" s="585">
        <v>-400</v>
      </c>
      <c r="H829" s="584" t="s">
        <v>1641</v>
      </c>
      <c r="I829" s="584" t="s">
        <v>100</v>
      </c>
      <c r="J829" s="585">
        <v>0</v>
      </c>
      <c r="K829" s="595">
        <v>44950</v>
      </c>
      <c r="L829" s="596">
        <v>1846413</v>
      </c>
      <c r="M829" s="584" t="s">
        <v>100</v>
      </c>
      <c r="N829" s="584" t="s">
        <v>100</v>
      </c>
      <c r="O829" s="584" t="s">
        <v>1646</v>
      </c>
      <c r="P829" s="586" t="s">
        <v>100</v>
      </c>
    </row>
    <row r="830" spans="1:16" ht="15">
      <c r="A830" s="591">
        <v>44950</v>
      </c>
      <c r="B830" s="580" t="s">
        <v>1861</v>
      </c>
      <c r="C830" s="580" t="s">
        <v>430</v>
      </c>
      <c r="D830" s="580" t="s">
        <v>1723</v>
      </c>
      <c r="E830" s="580" t="s">
        <v>100</v>
      </c>
      <c r="F830" s="580" t="s">
        <v>436</v>
      </c>
      <c r="G830" s="581">
        <v>-400</v>
      </c>
      <c r="H830" s="580" t="s">
        <v>1641</v>
      </c>
      <c r="I830" s="580" t="s">
        <v>100</v>
      </c>
      <c r="J830" s="581">
        <v>0</v>
      </c>
      <c r="K830" s="592">
        <v>44950</v>
      </c>
      <c r="L830" s="593">
        <v>1846411</v>
      </c>
      <c r="M830" s="580" t="s">
        <v>100</v>
      </c>
      <c r="N830" s="580" t="s">
        <v>100</v>
      </c>
      <c r="O830" s="580" t="s">
        <v>1646</v>
      </c>
      <c r="P830" s="582" t="s">
        <v>100</v>
      </c>
    </row>
    <row r="831" spans="1:16" ht="15">
      <c r="A831" s="594">
        <v>44950</v>
      </c>
      <c r="B831" s="584" t="s">
        <v>1862</v>
      </c>
      <c r="C831" s="584" t="s">
        <v>430</v>
      </c>
      <c r="D831" s="584" t="s">
        <v>1723</v>
      </c>
      <c r="E831" s="584" t="s">
        <v>100</v>
      </c>
      <c r="F831" s="584" t="s">
        <v>436</v>
      </c>
      <c r="G831" s="585">
        <v>-400</v>
      </c>
      <c r="H831" s="584" t="s">
        <v>1641</v>
      </c>
      <c r="I831" s="584" t="s">
        <v>100</v>
      </c>
      <c r="J831" s="585">
        <v>0</v>
      </c>
      <c r="K831" s="595">
        <v>44950</v>
      </c>
      <c r="L831" s="596">
        <v>1846409</v>
      </c>
      <c r="M831" s="584" t="s">
        <v>100</v>
      </c>
      <c r="N831" s="584" t="s">
        <v>100</v>
      </c>
      <c r="O831" s="584" t="s">
        <v>1646</v>
      </c>
      <c r="P831" s="586" t="s">
        <v>100</v>
      </c>
    </row>
    <row r="832" spans="1:16" ht="15">
      <c r="A832" s="591">
        <v>44950</v>
      </c>
      <c r="B832" s="580" t="s">
        <v>1863</v>
      </c>
      <c r="C832" s="580" t="s">
        <v>430</v>
      </c>
      <c r="D832" s="580" t="s">
        <v>1723</v>
      </c>
      <c r="E832" s="580" t="s">
        <v>100</v>
      </c>
      <c r="F832" s="580" t="s">
        <v>436</v>
      </c>
      <c r="G832" s="581">
        <v>-400</v>
      </c>
      <c r="H832" s="580" t="s">
        <v>1641</v>
      </c>
      <c r="I832" s="580" t="s">
        <v>100</v>
      </c>
      <c r="J832" s="581">
        <v>0</v>
      </c>
      <c r="K832" s="592">
        <v>44950</v>
      </c>
      <c r="L832" s="593">
        <v>1846407</v>
      </c>
      <c r="M832" s="580" t="s">
        <v>100</v>
      </c>
      <c r="N832" s="580" t="s">
        <v>100</v>
      </c>
      <c r="O832" s="580" t="s">
        <v>1646</v>
      </c>
      <c r="P832" s="582" t="s">
        <v>100</v>
      </c>
    </row>
    <row r="833" spans="1:16" ht="15">
      <c r="A833" s="594">
        <v>44950</v>
      </c>
      <c r="B833" s="584" t="s">
        <v>1864</v>
      </c>
      <c r="C833" s="584" t="s">
        <v>430</v>
      </c>
      <c r="D833" s="584" t="s">
        <v>1723</v>
      </c>
      <c r="E833" s="584" t="s">
        <v>100</v>
      </c>
      <c r="F833" s="584" t="s">
        <v>436</v>
      </c>
      <c r="G833" s="585">
        <v>-400</v>
      </c>
      <c r="H833" s="584" t="s">
        <v>1641</v>
      </c>
      <c r="I833" s="584" t="s">
        <v>100</v>
      </c>
      <c r="J833" s="585">
        <v>0</v>
      </c>
      <c r="K833" s="595">
        <v>44950</v>
      </c>
      <c r="L833" s="596">
        <v>1846405</v>
      </c>
      <c r="M833" s="584" t="s">
        <v>100</v>
      </c>
      <c r="N833" s="584" t="s">
        <v>100</v>
      </c>
      <c r="O833" s="584" t="s">
        <v>1646</v>
      </c>
      <c r="P833" s="586" t="s">
        <v>100</v>
      </c>
    </row>
    <row r="834" spans="1:16" ht="15">
      <c r="A834" s="591">
        <v>44950</v>
      </c>
      <c r="B834" s="580" t="s">
        <v>1865</v>
      </c>
      <c r="C834" s="580" t="s">
        <v>430</v>
      </c>
      <c r="D834" s="580" t="s">
        <v>1723</v>
      </c>
      <c r="E834" s="580" t="s">
        <v>100</v>
      </c>
      <c r="F834" s="580" t="s">
        <v>436</v>
      </c>
      <c r="G834" s="581">
        <v>-400</v>
      </c>
      <c r="H834" s="580" t="s">
        <v>1641</v>
      </c>
      <c r="I834" s="580" t="s">
        <v>100</v>
      </c>
      <c r="J834" s="581">
        <v>0</v>
      </c>
      <c r="K834" s="592">
        <v>44950</v>
      </c>
      <c r="L834" s="593">
        <v>1846403</v>
      </c>
      <c r="M834" s="580" t="s">
        <v>100</v>
      </c>
      <c r="N834" s="580" t="s">
        <v>100</v>
      </c>
      <c r="O834" s="580" t="s">
        <v>1646</v>
      </c>
      <c r="P834" s="582" t="s">
        <v>100</v>
      </c>
    </row>
    <row r="835" spans="1:16" ht="15">
      <c r="A835" s="594">
        <v>44950</v>
      </c>
      <c r="B835" s="584" t="s">
        <v>1866</v>
      </c>
      <c r="C835" s="584" t="s">
        <v>430</v>
      </c>
      <c r="D835" s="584" t="s">
        <v>1723</v>
      </c>
      <c r="E835" s="584" t="s">
        <v>100</v>
      </c>
      <c r="F835" s="584" t="s">
        <v>436</v>
      </c>
      <c r="G835" s="585">
        <v>-400</v>
      </c>
      <c r="H835" s="584" t="s">
        <v>1641</v>
      </c>
      <c r="I835" s="584" t="s">
        <v>100</v>
      </c>
      <c r="J835" s="585">
        <v>0</v>
      </c>
      <c r="K835" s="595">
        <v>44950</v>
      </c>
      <c r="L835" s="596">
        <v>1846401</v>
      </c>
      <c r="M835" s="584" t="s">
        <v>100</v>
      </c>
      <c r="N835" s="584" t="s">
        <v>100</v>
      </c>
      <c r="O835" s="584" t="s">
        <v>1646</v>
      </c>
      <c r="P835" s="586" t="s">
        <v>100</v>
      </c>
    </row>
    <row r="836" spans="1:16" ht="15">
      <c r="A836" s="591">
        <v>44950</v>
      </c>
      <c r="B836" s="580" t="s">
        <v>1867</v>
      </c>
      <c r="C836" s="580" t="s">
        <v>430</v>
      </c>
      <c r="D836" s="580" t="s">
        <v>1723</v>
      </c>
      <c r="E836" s="580" t="s">
        <v>100</v>
      </c>
      <c r="F836" s="580" t="s">
        <v>436</v>
      </c>
      <c r="G836" s="581">
        <v>-400</v>
      </c>
      <c r="H836" s="580" t="s">
        <v>1641</v>
      </c>
      <c r="I836" s="580" t="s">
        <v>100</v>
      </c>
      <c r="J836" s="581">
        <v>0</v>
      </c>
      <c r="K836" s="592">
        <v>44950</v>
      </c>
      <c r="L836" s="593">
        <v>1846399</v>
      </c>
      <c r="M836" s="580" t="s">
        <v>100</v>
      </c>
      <c r="N836" s="580" t="s">
        <v>100</v>
      </c>
      <c r="O836" s="580" t="s">
        <v>1646</v>
      </c>
      <c r="P836" s="582" t="s">
        <v>100</v>
      </c>
    </row>
    <row r="837" spans="1:16" ht="15">
      <c r="A837" s="594">
        <v>44950</v>
      </c>
      <c r="B837" s="584" t="s">
        <v>1868</v>
      </c>
      <c r="C837" s="584" t="s">
        <v>430</v>
      </c>
      <c r="D837" s="584" t="s">
        <v>1723</v>
      </c>
      <c r="E837" s="584" t="s">
        <v>100</v>
      </c>
      <c r="F837" s="584" t="s">
        <v>436</v>
      </c>
      <c r="G837" s="585">
        <v>-400</v>
      </c>
      <c r="H837" s="584" t="s">
        <v>1641</v>
      </c>
      <c r="I837" s="584" t="s">
        <v>100</v>
      </c>
      <c r="J837" s="585">
        <v>0</v>
      </c>
      <c r="K837" s="595">
        <v>44950</v>
      </c>
      <c r="L837" s="596">
        <v>1846397</v>
      </c>
      <c r="M837" s="584" t="s">
        <v>100</v>
      </c>
      <c r="N837" s="584" t="s">
        <v>100</v>
      </c>
      <c r="O837" s="584" t="s">
        <v>1646</v>
      </c>
      <c r="P837" s="586" t="s">
        <v>100</v>
      </c>
    </row>
    <row r="838" spans="1:16" ht="15">
      <c r="A838" s="591">
        <v>44950</v>
      </c>
      <c r="B838" s="580" t="s">
        <v>1869</v>
      </c>
      <c r="C838" s="580" t="s">
        <v>430</v>
      </c>
      <c r="D838" s="580" t="s">
        <v>1723</v>
      </c>
      <c r="E838" s="580" t="s">
        <v>100</v>
      </c>
      <c r="F838" s="580" t="s">
        <v>436</v>
      </c>
      <c r="G838" s="581">
        <v>-400</v>
      </c>
      <c r="H838" s="580" t="s">
        <v>1641</v>
      </c>
      <c r="I838" s="580" t="s">
        <v>100</v>
      </c>
      <c r="J838" s="581">
        <v>0</v>
      </c>
      <c r="K838" s="592">
        <v>44950</v>
      </c>
      <c r="L838" s="593">
        <v>1846395</v>
      </c>
      <c r="M838" s="580" t="s">
        <v>100</v>
      </c>
      <c r="N838" s="580" t="s">
        <v>100</v>
      </c>
      <c r="O838" s="580" t="s">
        <v>1646</v>
      </c>
      <c r="P838" s="582" t="s">
        <v>100</v>
      </c>
    </row>
    <row r="839" spans="1:16" ht="15">
      <c r="A839" s="594">
        <v>44950</v>
      </c>
      <c r="B839" s="584" t="s">
        <v>1870</v>
      </c>
      <c r="C839" s="584" t="s">
        <v>430</v>
      </c>
      <c r="D839" s="584" t="s">
        <v>1723</v>
      </c>
      <c r="E839" s="584" t="s">
        <v>100</v>
      </c>
      <c r="F839" s="584" t="s">
        <v>436</v>
      </c>
      <c r="G839" s="585">
        <v>-400</v>
      </c>
      <c r="H839" s="584" t="s">
        <v>1641</v>
      </c>
      <c r="I839" s="584" t="s">
        <v>100</v>
      </c>
      <c r="J839" s="585">
        <v>0</v>
      </c>
      <c r="K839" s="595">
        <v>44950</v>
      </c>
      <c r="L839" s="596">
        <v>1846393</v>
      </c>
      <c r="M839" s="584" t="s">
        <v>100</v>
      </c>
      <c r="N839" s="584" t="s">
        <v>100</v>
      </c>
      <c r="O839" s="584" t="s">
        <v>1646</v>
      </c>
      <c r="P839" s="586" t="s">
        <v>100</v>
      </c>
    </row>
    <row r="840" spans="1:16" ht="15">
      <c r="A840" s="591">
        <v>44950</v>
      </c>
      <c r="B840" s="580" t="s">
        <v>1871</v>
      </c>
      <c r="C840" s="580" t="s">
        <v>430</v>
      </c>
      <c r="D840" s="580" t="s">
        <v>1723</v>
      </c>
      <c r="E840" s="580" t="s">
        <v>100</v>
      </c>
      <c r="F840" s="580" t="s">
        <v>436</v>
      </c>
      <c r="G840" s="581">
        <v>-400</v>
      </c>
      <c r="H840" s="580" t="s">
        <v>1641</v>
      </c>
      <c r="I840" s="580" t="s">
        <v>100</v>
      </c>
      <c r="J840" s="581">
        <v>0</v>
      </c>
      <c r="K840" s="592">
        <v>44950</v>
      </c>
      <c r="L840" s="593">
        <v>1846391</v>
      </c>
      <c r="M840" s="580" t="s">
        <v>100</v>
      </c>
      <c r="N840" s="580" t="s">
        <v>100</v>
      </c>
      <c r="O840" s="580" t="s">
        <v>1646</v>
      </c>
      <c r="P840" s="582" t="s">
        <v>100</v>
      </c>
    </row>
    <row r="841" spans="1:16" ht="15">
      <c r="A841" s="594">
        <v>44950</v>
      </c>
      <c r="B841" s="584" t="s">
        <v>1872</v>
      </c>
      <c r="C841" s="584" t="s">
        <v>430</v>
      </c>
      <c r="D841" s="584" t="s">
        <v>1723</v>
      </c>
      <c r="E841" s="584" t="s">
        <v>100</v>
      </c>
      <c r="F841" s="584" t="s">
        <v>436</v>
      </c>
      <c r="G841" s="585">
        <v>-400</v>
      </c>
      <c r="H841" s="584" t="s">
        <v>1641</v>
      </c>
      <c r="I841" s="584" t="s">
        <v>100</v>
      </c>
      <c r="J841" s="585">
        <v>0</v>
      </c>
      <c r="K841" s="595">
        <v>44950</v>
      </c>
      <c r="L841" s="596">
        <v>1846389</v>
      </c>
      <c r="M841" s="584" t="s">
        <v>100</v>
      </c>
      <c r="N841" s="584" t="s">
        <v>100</v>
      </c>
      <c r="O841" s="584" t="s">
        <v>1646</v>
      </c>
      <c r="P841" s="586" t="s">
        <v>100</v>
      </c>
    </row>
    <row r="842" spans="1:16" ht="15">
      <c r="A842" s="591">
        <v>44950</v>
      </c>
      <c r="B842" s="580" t="s">
        <v>1873</v>
      </c>
      <c r="C842" s="580" t="s">
        <v>430</v>
      </c>
      <c r="D842" s="580" t="s">
        <v>1723</v>
      </c>
      <c r="E842" s="580" t="s">
        <v>100</v>
      </c>
      <c r="F842" s="580" t="s">
        <v>436</v>
      </c>
      <c r="G842" s="581">
        <v>-400</v>
      </c>
      <c r="H842" s="580" t="s">
        <v>1641</v>
      </c>
      <c r="I842" s="580" t="s">
        <v>100</v>
      </c>
      <c r="J842" s="581">
        <v>0</v>
      </c>
      <c r="K842" s="592">
        <v>44950</v>
      </c>
      <c r="L842" s="593">
        <v>1846387</v>
      </c>
      <c r="M842" s="580" t="s">
        <v>100</v>
      </c>
      <c r="N842" s="580" t="s">
        <v>100</v>
      </c>
      <c r="O842" s="580" t="s">
        <v>1646</v>
      </c>
      <c r="P842" s="582" t="s">
        <v>100</v>
      </c>
    </row>
    <row r="843" spans="1:16" ht="15">
      <c r="A843" s="594">
        <v>44950</v>
      </c>
      <c r="B843" s="584" t="s">
        <v>1874</v>
      </c>
      <c r="C843" s="584" t="s">
        <v>430</v>
      </c>
      <c r="D843" s="584" t="s">
        <v>1723</v>
      </c>
      <c r="E843" s="584" t="s">
        <v>100</v>
      </c>
      <c r="F843" s="584" t="s">
        <v>436</v>
      </c>
      <c r="G843" s="585">
        <v>-400</v>
      </c>
      <c r="H843" s="584" t="s">
        <v>1641</v>
      </c>
      <c r="I843" s="584" t="s">
        <v>100</v>
      </c>
      <c r="J843" s="585">
        <v>0</v>
      </c>
      <c r="K843" s="595">
        <v>44950</v>
      </c>
      <c r="L843" s="596">
        <v>1846385</v>
      </c>
      <c r="M843" s="584" t="s">
        <v>100</v>
      </c>
      <c r="N843" s="584" t="s">
        <v>100</v>
      </c>
      <c r="O843" s="584" t="s">
        <v>1646</v>
      </c>
      <c r="P843" s="586" t="s">
        <v>100</v>
      </c>
    </row>
    <row r="844" spans="1:16" ht="15">
      <c r="A844" s="591">
        <v>44950</v>
      </c>
      <c r="B844" s="580" t="s">
        <v>1875</v>
      </c>
      <c r="C844" s="580" t="s">
        <v>430</v>
      </c>
      <c r="D844" s="580" t="s">
        <v>1723</v>
      </c>
      <c r="E844" s="580" t="s">
        <v>100</v>
      </c>
      <c r="F844" s="580" t="s">
        <v>436</v>
      </c>
      <c r="G844" s="581">
        <v>-400</v>
      </c>
      <c r="H844" s="580" t="s">
        <v>1641</v>
      </c>
      <c r="I844" s="580" t="s">
        <v>100</v>
      </c>
      <c r="J844" s="581">
        <v>0</v>
      </c>
      <c r="K844" s="592">
        <v>44950</v>
      </c>
      <c r="L844" s="593">
        <v>1846383</v>
      </c>
      <c r="M844" s="580" t="s">
        <v>100</v>
      </c>
      <c r="N844" s="580" t="s">
        <v>100</v>
      </c>
      <c r="O844" s="580" t="s">
        <v>1646</v>
      </c>
      <c r="P844" s="582" t="s">
        <v>100</v>
      </c>
    </row>
    <row r="845" spans="1:16" ht="15">
      <c r="A845" s="594">
        <v>44950</v>
      </c>
      <c r="B845" s="584" t="s">
        <v>1876</v>
      </c>
      <c r="C845" s="584" t="s">
        <v>430</v>
      </c>
      <c r="D845" s="584" t="s">
        <v>1723</v>
      </c>
      <c r="E845" s="584" t="s">
        <v>100</v>
      </c>
      <c r="F845" s="584" t="s">
        <v>436</v>
      </c>
      <c r="G845" s="585">
        <v>-400</v>
      </c>
      <c r="H845" s="584" t="s">
        <v>1641</v>
      </c>
      <c r="I845" s="584" t="s">
        <v>100</v>
      </c>
      <c r="J845" s="585">
        <v>0</v>
      </c>
      <c r="K845" s="595">
        <v>44950</v>
      </c>
      <c r="L845" s="596">
        <v>1846381</v>
      </c>
      <c r="M845" s="584" t="s">
        <v>100</v>
      </c>
      <c r="N845" s="584" t="s">
        <v>100</v>
      </c>
      <c r="O845" s="584" t="s">
        <v>1646</v>
      </c>
      <c r="P845" s="586" t="s">
        <v>100</v>
      </c>
    </row>
    <row r="846" spans="1:16" ht="15">
      <c r="A846" s="591">
        <v>44950</v>
      </c>
      <c r="B846" s="580" t="s">
        <v>1877</v>
      </c>
      <c r="C846" s="580" t="s">
        <v>430</v>
      </c>
      <c r="D846" s="580" t="s">
        <v>1723</v>
      </c>
      <c r="E846" s="580" t="s">
        <v>100</v>
      </c>
      <c r="F846" s="580" t="s">
        <v>436</v>
      </c>
      <c r="G846" s="581">
        <v>-400</v>
      </c>
      <c r="H846" s="580" t="s">
        <v>1641</v>
      </c>
      <c r="I846" s="580" t="s">
        <v>100</v>
      </c>
      <c r="J846" s="581">
        <v>0</v>
      </c>
      <c r="K846" s="592">
        <v>44950</v>
      </c>
      <c r="L846" s="593">
        <v>1846379</v>
      </c>
      <c r="M846" s="580" t="s">
        <v>100</v>
      </c>
      <c r="N846" s="580" t="s">
        <v>100</v>
      </c>
      <c r="O846" s="580" t="s">
        <v>1646</v>
      </c>
      <c r="P846" s="582" t="s">
        <v>100</v>
      </c>
    </row>
    <row r="847" spans="1:16" ht="15">
      <c r="A847" s="594">
        <v>44950</v>
      </c>
      <c r="B847" s="584" t="s">
        <v>1878</v>
      </c>
      <c r="C847" s="584" t="s">
        <v>430</v>
      </c>
      <c r="D847" s="584" t="s">
        <v>1723</v>
      </c>
      <c r="E847" s="584" t="s">
        <v>100</v>
      </c>
      <c r="F847" s="584" t="s">
        <v>436</v>
      </c>
      <c r="G847" s="585">
        <v>-400</v>
      </c>
      <c r="H847" s="584" t="s">
        <v>1641</v>
      </c>
      <c r="I847" s="584" t="s">
        <v>100</v>
      </c>
      <c r="J847" s="585">
        <v>0</v>
      </c>
      <c r="K847" s="595">
        <v>44950</v>
      </c>
      <c r="L847" s="596">
        <v>1846377</v>
      </c>
      <c r="M847" s="584" t="s">
        <v>100</v>
      </c>
      <c r="N847" s="584" t="s">
        <v>100</v>
      </c>
      <c r="O847" s="584" t="s">
        <v>1646</v>
      </c>
      <c r="P847" s="586" t="s">
        <v>100</v>
      </c>
    </row>
    <row r="848" spans="1:16" ht="15">
      <c r="A848" s="591">
        <v>44950</v>
      </c>
      <c r="B848" s="580" t="s">
        <v>1879</v>
      </c>
      <c r="C848" s="580" t="s">
        <v>430</v>
      </c>
      <c r="D848" s="580" t="s">
        <v>1723</v>
      </c>
      <c r="E848" s="580" t="s">
        <v>100</v>
      </c>
      <c r="F848" s="580" t="s">
        <v>436</v>
      </c>
      <c r="G848" s="581">
        <v>-400</v>
      </c>
      <c r="H848" s="580" t="s">
        <v>1641</v>
      </c>
      <c r="I848" s="580" t="s">
        <v>100</v>
      </c>
      <c r="J848" s="581">
        <v>0</v>
      </c>
      <c r="K848" s="592">
        <v>44950</v>
      </c>
      <c r="L848" s="593">
        <v>1846375</v>
      </c>
      <c r="M848" s="580" t="s">
        <v>100</v>
      </c>
      <c r="N848" s="580" t="s">
        <v>100</v>
      </c>
      <c r="O848" s="580" t="s">
        <v>1646</v>
      </c>
      <c r="P848" s="582" t="s">
        <v>100</v>
      </c>
    </row>
    <row r="849" spans="1:16" ht="15">
      <c r="A849" s="594">
        <v>44950</v>
      </c>
      <c r="B849" s="584" t="s">
        <v>1880</v>
      </c>
      <c r="C849" s="584" t="s">
        <v>430</v>
      </c>
      <c r="D849" s="584" t="s">
        <v>1723</v>
      </c>
      <c r="E849" s="584" t="s">
        <v>100</v>
      </c>
      <c r="F849" s="584" t="s">
        <v>436</v>
      </c>
      <c r="G849" s="585">
        <v>-400</v>
      </c>
      <c r="H849" s="584" t="s">
        <v>1641</v>
      </c>
      <c r="I849" s="584" t="s">
        <v>100</v>
      </c>
      <c r="J849" s="585">
        <v>0</v>
      </c>
      <c r="K849" s="595">
        <v>44950</v>
      </c>
      <c r="L849" s="596">
        <v>1846373</v>
      </c>
      <c r="M849" s="584" t="s">
        <v>100</v>
      </c>
      <c r="N849" s="584" t="s">
        <v>100</v>
      </c>
      <c r="O849" s="584" t="s">
        <v>1646</v>
      </c>
      <c r="P849" s="586" t="s">
        <v>100</v>
      </c>
    </row>
    <row r="850" spans="1:16" ht="15">
      <c r="A850" s="591">
        <v>44950</v>
      </c>
      <c r="B850" s="580" t="s">
        <v>1881</v>
      </c>
      <c r="C850" s="580" t="s">
        <v>430</v>
      </c>
      <c r="D850" s="580" t="s">
        <v>1723</v>
      </c>
      <c r="E850" s="580" t="s">
        <v>100</v>
      </c>
      <c r="F850" s="580" t="s">
        <v>436</v>
      </c>
      <c r="G850" s="581">
        <v>-400</v>
      </c>
      <c r="H850" s="580" t="s">
        <v>1641</v>
      </c>
      <c r="I850" s="580" t="s">
        <v>100</v>
      </c>
      <c r="J850" s="581">
        <v>0</v>
      </c>
      <c r="K850" s="592">
        <v>44950</v>
      </c>
      <c r="L850" s="593">
        <v>1846371</v>
      </c>
      <c r="M850" s="580" t="s">
        <v>100</v>
      </c>
      <c r="N850" s="580" t="s">
        <v>100</v>
      </c>
      <c r="O850" s="580" t="s">
        <v>1646</v>
      </c>
      <c r="P850" s="582" t="s">
        <v>100</v>
      </c>
    </row>
    <row r="851" spans="1:16" ht="15">
      <c r="A851" s="594">
        <v>44950</v>
      </c>
      <c r="B851" s="584" t="s">
        <v>1882</v>
      </c>
      <c r="C851" s="584" t="s">
        <v>430</v>
      </c>
      <c r="D851" s="584" t="s">
        <v>1723</v>
      </c>
      <c r="E851" s="584" t="s">
        <v>100</v>
      </c>
      <c r="F851" s="584" t="s">
        <v>436</v>
      </c>
      <c r="G851" s="585">
        <v>-400</v>
      </c>
      <c r="H851" s="584" t="s">
        <v>1641</v>
      </c>
      <c r="I851" s="584" t="s">
        <v>100</v>
      </c>
      <c r="J851" s="585">
        <v>0</v>
      </c>
      <c r="K851" s="595">
        <v>44950</v>
      </c>
      <c r="L851" s="596">
        <v>1846369</v>
      </c>
      <c r="M851" s="584" t="s">
        <v>100</v>
      </c>
      <c r="N851" s="584" t="s">
        <v>100</v>
      </c>
      <c r="O851" s="584" t="s">
        <v>1646</v>
      </c>
      <c r="P851" s="586" t="s">
        <v>100</v>
      </c>
    </row>
    <row r="852" spans="1:16" ht="15">
      <c r="A852" s="591">
        <v>44950</v>
      </c>
      <c r="B852" s="580" t="s">
        <v>1883</v>
      </c>
      <c r="C852" s="580" t="s">
        <v>430</v>
      </c>
      <c r="D852" s="580" t="s">
        <v>1723</v>
      </c>
      <c r="E852" s="580" t="s">
        <v>100</v>
      </c>
      <c r="F852" s="580" t="s">
        <v>436</v>
      </c>
      <c r="G852" s="581">
        <v>-400</v>
      </c>
      <c r="H852" s="580" t="s">
        <v>1641</v>
      </c>
      <c r="I852" s="580" t="s">
        <v>100</v>
      </c>
      <c r="J852" s="581">
        <v>0</v>
      </c>
      <c r="K852" s="592">
        <v>44950</v>
      </c>
      <c r="L852" s="593">
        <v>1846367</v>
      </c>
      <c r="M852" s="580" t="s">
        <v>100</v>
      </c>
      <c r="N852" s="580" t="s">
        <v>100</v>
      </c>
      <c r="O852" s="580" t="s">
        <v>1646</v>
      </c>
      <c r="P852" s="582" t="s">
        <v>100</v>
      </c>
    </row>
    <row r="853" spans="1:16" ht="15">
      <c r="A853" s="594">
        <v>44950</v>
      </c>
      <c r="B853" s="584" t="s">
        <v>1884</v>
      </c>
      <c r="C853" s="584" t="s">
        <v>430</v>
      </c>
      <c r="D853" s="584" t="s">
        <v>1723</v>
      </c>
      <c r="E853" s="584" t="s">
        <v>100</v>
      </c>
      <c r="F853" s="584" t="s">
        <v>436</v>
      </c>
      <c r="G853" s="585">
        <v>-400</v>
      </c>
      <c r="H853" s="584" t="s">
        <v>1641</v>
      </c>
      <c r="I853" s="584" t="s">
        <v>100</v>
      </c>
      <c r="J853" s="585">
        <v>0</v>
      </c>
      <c r="K853" s="595">
        <v>44950</v>
      </c>
      <c r="L853" s="596">
        <v>1846365</v>
      </c>
      <c r="M853" s="584" t="s">
        <v>100</v>
      </c>
      <c r="N853" s="584" t="s">
        <v>100</v>
      </c>
      <c r="O853" s="584" t="s">
        <v>1646</v>
      </c>
      <c r="P853" s="586" t="s">
        <v>100</v>
      </c>
    </row>
    <row r="854" spans="1:16" ht="15">
      <c r="A854" s="591">
        <v>44950</v>
      </c>
      <c r="B854" s="580" t="s">
        <v>1885</v>
      </c>
      <c r="C854" s="580" t="s">
        <v>430</v>
      </c>
      <c r="D854" s="580" t="s">
        <v>1723</v>
      </c>
      <c r="E854" s="580" t="s">
        <v>100</v>
      </c>
      <c r="F854" s="580" t="s">
        <v>436</v>
      </c>
      <c r="G854" s="581">
        <v>-400</v>
      </c>
      <c r="H854" s="580" t="s">
        <v>1641</v>
      </c>
      <c r="I854" s="580" t="s">
        <v>100</v>
      </c>
      <c r="J854" s="581">
        <v>0</v>
      </c>
      <c r="K854" s="592">
        <v>44950</v>
      </c>
      <c r="L854" s="593">
        <v>1846363</v>
      </c>
      <c r="M854" s="580" t="s">
        <v>100</v>
      </c>
      <c r="N854" s="580" t="s">
        <v>100</v>
      </c>
      <c r="O854" s="580" t="s">
        <v>1646</v>
      </c>
      <c r="P854" s="582" t="s">
        <v>100</v>
      </c>
    </row>
    <row r="855" spans="1:16" ht="15">
      <c r="A855" s="594">
        <v>44950</v>
      </c>
      <c r="B855" s="584" t="s">
        <v>1886</v>
      </c>
      <c r="C855" s="584" t="s">
        <v>430</v>
      </c>
      <c r="D855" s="584" t="s">
        <v>1723</v>
      </c>
      <c r="E855" s="584" t="s">
        <v>100</v>
      </c>
      <c r="F855" s="584" t="s">
        <v>436</v>
      </c>
      <c r="G855" s="585">
        <v>-400</v>
      </c>
      <c r="H855" s="584" t="s">
        <v>1641</v>
      </c>
      <c r="I855" s="584" t="s">
        <v>100</v>
      </c>
      <c r="J855" s="585">
        <v>0</v>
      </c>
      <c r="K855" s="595">
        <v>44950</v>
      </c>
      <c r="L855" s="596">
        <v>1846361</v>
      </c>
      <c r="M855" s="584" t="s">
        <v>100</v>
      </c>
      <c r="N855" s="584" t="s">
        <v>100</v>
      </c>
      <c r="O855" s="584" t="s">
        <v>1646</v>
      </c>
      <c r="P855" s="586" t="s">
        <v>100</v>
      </c>
    </row>
    <row r="856" spans="1:16" ht="15">
      <c r="A856" s="591">
        <v>44950</v>
      </c>
      <c r="B856" s="580" t="s">
        <v>1887</v>
      </c>
      <c r="C856" s="580" t="s">
        <v>430</v>
      </c>
      <c r="D856" s="580" t="s">
        <v>1723</v>
      </c>
      <c r="E856" s="580" t="s">
        <v>100</v>
      </c>
      <c r="F856" s="580" t="s">
        <v>436</v>
      </c>
      <c r="G856" s="581">
        <v>-400</v>
      </c>
      <c r="H856" s="580" t="s">
        <v>1641</v>
      </c>
      <c r="I856" s="580" t="s">
        <v>100</v>
      </c>
      <c r="J856" s="581">
        <v>0</v>
      </c>
      <c r="K856" s="592">
        <v>44950</v>
      </c>
      <c r="L856" s="593">
        <v>1846359</v>
      </c>
      <c r="M856" s="580" t="s">
        <v>100</v>
      </c>
      <c r="N856" s="580" t="s">
        <v>100</v>
      </c>
      <c r="O856" s="580" t="s">
        <v>1646</v>
      </c>
      <c r="P856" s="582" t="s">
        <v>100</v>
      </c>
    </row>
    <row r="857" spans="1:16" ht="15">
      <c r="A857" s="594">
        <v>44950</v>
      </c>
      <c r="B857" s="584" t="s">
        <v>1888</v>
      </c>
      <c r="C857" s="584" t="s">
        <v>430</v>
      </c>
      <c r="D857" s="584" t="s">
        <v>1723</v>
      </c>
      <c r="E857" s="584" t="s">
        <v>100</v>
      </c>
      <c r="F857" s="584" t="s">
        <v>436</v>
      </c>
      <c r="G857" s="585">
        <v>-400</v>
      </c>
      <c r="H857" s="584" t="s">
        <v>1641</v>
      </c>
      <c r="I857" s="584" t="s">
        <v>100</v>
      </c>
      <c r="J857" s="585">
        <v>0</v>
      </c>
      <c r="K857" s="595">
        <v>44950</v>
      </c>
      <c r="L857" s="596">
        <v>1846357</v>
      </c>
      <c r="M857" s="584" t="s">
        <v>100</v>
      </c>
      <c r="N857" s="584" t="s">
        <v>100</v>
      </c>
      <c r="O857" s="584" t="s">
        <v>1646</v>
      </c>
      <c r="P857" s="586" t="s">
        <v>100</v>
      </c>
    </row>
    <row r="858" spans="1:16" ht="15">
      <c r="A858" s="591">
        <v>44950</v>
      </c>
      <c r="B858" s="580" t="s">
        <v>1889</v>
      </c>
      <c r="C858" s="580" t="s">
        <v>430</v>
      </c>
      <c r="D858" s="580" t="s">
        <v>1723</v>
      </c>
      <c r="E858" s="580" t="s">
        <v>100</v>
      </c>
      <c r="F858" s="580" t="s">
        <v>436</v>
      </c>
      <c r="G858" s="581">
        <v>-400</v>
      </c>
      <c r="H858" s="580" t="s">
        <v>1641</v>
      </c>
      <c r="I858" s="580" t="s">
        <v>100</v>
      </c>
      <c r="J858" s="581">
        <v>0</v>
      </c>
      <c r="K858" s="592">
        <v>44950</v>
      </c>
      <c r="L858" s="593">
        <v>1846355</v>
      </c>
      <c r="M858" s="580" t="s">
        <v>100</v>
      </c>
      <c r="N858" s="580" t="s">
        <v>100</v>
      </c>
      <c r="O858" s="580" t="s">
        <v>1646</v>
      </c>
      <c r="P858" s="582" t="s">
        <v>100</v>
      </c>
    </row>
    <row r="859" spans="1:16" ht="15">
      <c r="A859" s="594">
        <v>44950</v>
      </c>
      <c r="B859" s="584" t="s">
        <v>1890</v>
      </c>
      <c r="C859" s="584" t="s">
        <v>430</v>
      </c>
      <c r="D859" s="584" t="s">
        <v>1723</v>
      </c>
      <c r="E859" s="584" t="s">
        <v>100</v>
      </c>
      <c r="F859" s="584" t="s">
        <v>436</v>
      </c>
      <c r="G859" s="585">
        <v>-400</v>
      </c>
      <c r="H859" s="584" t="s">
        <v>1641</v>
      </c>
      <c r="I859" s="584" t="s">
        <v>100</v>
      </c>
      <c r="J859" s="585">
        <v>0</v>
      </c>
      <c r="K859" s="595">
        <v>44950</v>
      </c>
      <c r="L859" s="596">
        <v>1846353</v>
      </c>
      <c r="M859" s="584" t="s">
        <v>100</v>
      </c>
      <c r="N859" s="584" t="s">
        <v>100</v>
      </c>
      <c r="O859" s="584" t="s">
        <v>1646</v>
      </c>
      <c r="P859" s="586" t="s">
        <v>100</v>
      </c>
    </row>
    <row r="860" spans="1:16" ht="15">
      <c r="A860" s="591">
        <v>44950</v>
      </c>
      <c r="B860" s="580" t="s">
        <v>1891</v>
      </c>
      <c r="C860" s="580" t="s">
        <v>430</v>
      </c>
      <c r="D860" s="580" t="s">
        <v>1723</v>
      </c>
      <c r="E860" s="580" t="s">
        <v>100</v>
      </c>
      <c r="F860" s="580" t="s">
        <v>436</v>
      </c>
      <c r="G860" s="581">
        <v>-400</v>
      </c>
      <c r="H860" s="580" t="s">
        <v>1641</v>
      </c>
      <c r="I860" s="580" t="s">
        <v>100</v>
      </c>
      <c r="J860" s="581">
        <v>0</v>
      </c>
      <c r="K860" s="592">
        <v>44950</v>
      </c>
      <c r="L860" s="593">
        <v>1846351</v>
      </c>
      <c r="M860" s="580" t="s">
        <v>100</v>
      </c>
      <c r="N860" s="580" t="s">
        <v>100</v>
      </c>
      <c r="O860" s="580" t="s">
        <v>1646</v>
      </c>
      <c r="P860" s="582" t="s">
        <v>100</v>
      </c>
    </row>
    <row r="861" spans="1:16" ht="15">
      <c r="A861" s="594">
        <v>44950</v>
      </c>
      <c r="B861" s="584" t="s">
        <v>1892</v>
      </c>
      <c r="C861" s="584" t="s">
        <v>430</v>
      </c>
      <c r="D861" s="584" t="s">
        <v>1723</v>
      </c>
      <c r="E861" s="584" t="s">
        <v>100</v>
      </c>
      <c r="F861" s="584" t="s">
        <v>436</v>
      </c>
      <c r="G861" s="585">
        <v>-400</v>
      </c>
      <c r="H861" s="584" t="s">
        <v>1641</v>
      </c>
      <c r="I861" s="584" t="s">
        <v>100</v>
      </c>
      <c r="J861" s="585">
        <v>0</v>
      </c>
      <c r="K861" s="595">
        <v>44950</v>
      </c>
      <c r="L861" s="596">
        <v>1846349</v>
      </c>
      <c r="M861" s="584" t="s">
        <v>100</v>
      </c>
      <c r="N861" s="584" t="s">
        <v>100</v>
      </c>
      <c r="O861" s="584" t="s">
        <v>1646</v>
      </c>
      <c r="P861" s="586" t="s">
        <v>100</v>
      </c>
    </row>
    <row r="862" spans="1:16" ht="15">
      <c r="A862" s="591">
        <v>44950</v>
      </c>
      <c r="B862" s="580" t="s">
        <v>1893</v>
      </c>
      <c r="C862" s="580" t="s">
        <v>430</v>
      </c>
      <c r="D862" s="580" t="s">
        <v>1723</v>
      </c>
      <c r="E862" s="580" t="s">
        <v>100</v>
      </c>
      <c r="F862" s="580" t="s">
        <v>436</v>
      </c>
      <c r="G862" s="581">
        <v>-400</v>
      </c>
      <c r="H862" s="580" t="s">
        <v>1641</v>
      </c>
      <c r="I862" s="580" t="s">
        <v>100</v>
      </c>
      <c r="J862" s="581">
        <v>0</v>
      </c>
      <c r="K862" s="592">
        <v>44950</v>
      </c>
      <c r="L862" s="593">
        <v>1846347</v>
      </c>
      <c r="M862" s="580" t="s">
        <v>100</v>
      </c>
      <c r="N862" s="580" t="s">
        <v>100</v>
      </c>
      <c r="O862" s="580" t="s">
        <v>1646</v>
      </c>
      <c r="P862" s="582" t="s">
        <v>100</v>
      </c>
    </row>
    <row r="863" spans="1:16" ht="15">
      <c r="A863" s="594">
        <v>44950</v>
      </c>
      <c r="B863" s="584" t="s">
        <v>1894</v>
      </c>
      <c r="C863" s="584" t="s">
        <v>430</v>
      </c>
      <c r="D863" s="584" t="s">
        <v>1723</v>
      </c>
      <c r="E863" s="584" t="s">
        <v>100</v>
      </c>
      <c r="F863" s="584" t="s">
        <v>436</v>
      </c>
      <c r="G863" s="585">
        <v>-400</v>
      </c>
      <c r="H863" s="584" t="s">
        <v>1641</v>
      </c>
      <c r="I863" s="584" t="s">
        <v>100</v>
      </c>
      <c r="J863" s="585">
        <v>0</v>
      </c>
      <c r="K863" s="595">
        <v>44950</v>
      </c>
      <c r="L863" s="596">
        <v>1846345</v>
      </c>
      <c r="M863" s="584" t="s">
        <v>100</v>
      </c>
      <c r="N863" s="584" t="s">
        <v>100</v>
      </c>
      <c r="O863" s="584" t="s">
        <v>1646</v>
      </c>
      <c r="P863" s="586" t="s">
        <v>100</v>
      </c>
    </row>
    <row r="864" spans="1:16" ht="15">
      <c r="A864" s="591">
        <v>44950</v>
      </c>
      <c r="B864" s="580" t="s">
        <v>1895</v>
      </c>
      <c r="C864" s="580" t="s">
        <v>430</v>
      </c>
      <c r="D864" s="580" t="s">
        <v>1723</v>
      </c>
      <c r="E864" s="580" t="s">
        <v>100</v>
      </c>
      <c r="F864" s="580" t="s">
        <v>436</v>
      </c>
      <c r="G864" s="581">
        <v>-400</v>
      </c>
      <c r="H864" s="580" t="s">
        <v>1641</v>
      </c>
      <c r="I864" s="580" t="s">
        <v>100</v>
      </c>
      <c r="J864" s="581">
        <v>0</v>
      </c>
      <c r="K864" s="592">
        <v>44950</v>
      </c>
      <c r="L864" s="593">
        <v>1846343</v>
      </c>
      <c r="M864" s="580" t="s">
        <v>100</v>
      </c>
      <c r="N864" s="580" t="s">
        <v>100</v>
      </c>
      <c r="O864" s="580" t="s">
        <v>1646</v>
      </c>
      <c r="P864" s="582" t="s">
        <v>100</v>
      </c>
    </row>
    <row r="865" spans="1:16" ht="15">
      <c r="A865" s="594">
        <v>44950</v>
      </c>
      <c r="B865" s="584" t="s">
        <v>1896</v>
      </c>
      <c r="C865" s="584" t="s">
        <v>430</v>
      </c>
      <c r="D865" s="584" t="s">
        <v>1723</v>
      </c>
      <c r="E865" s="584" t="s">
        <v>100</v>
      </c>
      <c r="F865" s="584" t="s">
        <v>436</v>
      </c>
      <c r="G865" s="585">
        <v>-400</v>
      </c>
      <c r="H865" s="584" t="s">
        <v>1641</v>
      </c>
      <c r="I865" s="584" t="s">
        <v>100</v>
      </c>
      <c r="J865" s="585">
        <v>0</v>
      </c>
      <c r="K865" s="595">
        <v>44950</v>
      </c>
      <c r="L865" s="596">
        <v>1846341</v>
      </c>
      <c r="M865" s="584" t="s">
        <v>100</v>
      </c>
      <c r="N865" s="584" t="s">
        <v>100</v>
      </c>
      <c r="O865" s="584" t="s">
        <v>1646</v>
      </c>
      <c r="P865" s="586" t="s">
        <v>100</v>
      </c>
    </row>
    <row r="866" spans="1:16" ht="15">
      <c r="A866" s="591">
        <v>44950</v>
      </c>
      <c r="B866" s="580" t="s">
        <v>1897</v>
      </c>
      <c r="C866" s="580" t="s">
        <v>430</v>
      </c>
      <c r="D866" s="580" t="s">
        <v>1723</v>
      </c>
      <c r="E866" s="580" t="s">
        <v>100</v>
      </c>
      <c r="F866" s="580" t="s">
        <v>436</v>
      </c>
      <c r="G866" s="581">
        <v>-400</v>
      </c>
      <c r="H866" s="580" t="s">
        <v>1641</v>
      </c>
      <c r="I866" s="580" t="s">
        <v>100</v>
      </c>
      <c r="J866" s="581">
        <v>0</v>
      </c>
      <c r="K866" s="592">
        <v>44950</v>
      </c>
      <c r="L866" s="593">
        <v>1846339</v>
      </c>
      <c r="M866" s="580" t="s">
        <v>100</v>
      </c>
      <c r="N866" s="580" t="s">
        <v>100</v>
      </c>
      <c r="O866" s="580" t="s">
        <v>1646</v>
      </c>
      <c r="P866" s="582" t="s">
        <v>100</v>
      </c>
    </row>
    <row r="867" spans="1:16" ht="15">
      <c r="A867" s="594">
        <v>44950</v>
      </c>
      <c r="B867" s="584" t="s">
        <v>1898</v>
      </c>
      <c r="C867" s="584" t="s">
        <v>430</v>
      </c>
      <c r="D867" s="584" t="s">
        <v>1723</v>
      </c>
      <c r="E867" s="584" t="s">
        <v>100</v>
      </c>
      <c r="F867" s="584" t="s">
        <v>436</v>
      </c>
      <c r="G867" s="585">
        <v>-400</v>
      </c>
      <c r="H867" s="584" t="s">
        <v>1641</v>
      </c>
      <c r="I867" s="584" t="s">
        <v>100</v>
      </c>
      <c r="J867" s="585">
        <v>0</v>
      </c>
      <c r="K867" s="595">
        <v>44950</v>
      </c>
      <c r="L867" s="596">
        <v>1846337</v>
      </c>
      <c r="M867" s="584" t="s">
        <v>100</v>
      </c>
      <c r="N867" s="584" t="s">
        <v>100</v>
      </c>
      <c r="O867" s="584" t="s">
        <v>1646</v>
      </c>
      <c r="P867" s="586" t="s">
        <v>100</v>
      </c>
    </row>
    <row r="868" spans="1:16" ht="15">
      <c r="A868" s="591">
        <v>44950</v>
      </c>
      <c r="B868" s="580" t="s">
        <v>1899</v>
      </c>
      <c r="C868" s="580" t="s">
        <v>430</v>
      </c>
      <c r="D868" s="580" t="s">
        <v>1723</v>
      </c>
      <c r="E868" s="580" t="s">
        <v>100</v>
      </c>
      <c r="F868" s="580" t="s">
        <v>436</v>
      </c>
      <c r="G868" s="581">
        <v>-400</v>
      </c>
      <c r="H868" s="580" t="s">
        <v>1641</v>
      </c>
      <c r="I868" s="580" t="s">
        <v>100</v>
      </c>
      <c r="J868" s="581">
        <v>0</v>
      </c>
      <c r="K868" s="592">
        <v>44950</v>
      </c>
      <c r="L868" s="593">
        <v>1846335</v>
      </c>
      <c r="M868" s="580" t="s">
        <v>100</v>
      </c>
      <c r="N868" s="580" t="s">
        <v>100</v>
      </c>
      <c r="O868" s="580" t="s">
        <v>1646</v>
      </c>
      <c r="P868" s="582" t="s">
        <v>100</v>
      </c>
    </row>
    <row r="869" spans="1:16" ht="15">
      <c r="A869" s="594">
        <v>44950</v>
      </c>
      <c r="B869" s="584" t="s">
        <v>1900</v>
      </c>
      <c r="C869" s="584" t="s">
        <v>430</v>
      </c>
      <c r="D869" s="584" t="s">
        <v>1723</v>
      </c>
      <c r="E869" s="584" t="s">
        <v>100</v>
      </c>
      <c r="F869" s="584" t="s">
        <v>436</v>
      </c>
      <c r="G869" s="585">
        <v>-400</v>
      </c>
      <c r="H869" s="584" t="s">
        <v>1641</v>
      </c>
      <c r="I869" s="584" t="s">
        <v>100</v>
      </c>
      <c r="J869" s="585">
        <v>0</v>
      </c>
      <c r="K869" s="595">
        <v>44950</v>
      </c>
      <c r="L869" s="596">
        <v>1846333</v>
      </c>
      <c r="M869" s="584" t="s">
        <v>100</v>
      </c>
      <c r="N869" s="584" t="s">
        <v>100</v>
      </c>
      <c r="O869" s="584" t="s">
        <v>1646</v>
      </c>
      <c r="P869" s="586" t="s">
        <v>100</v>
      </c>
    </row>
    <row r="870" spans="1:16" ht="15">
      <c r="A870" s="591">
        <v>44950</v>
      </c>
      <c r="B870" s="580" t="s">
        <v>1901</v>
      </c>
      <c r="C870" s="580" t="s">
        <v>430</v>
      </c>
      <c r="D870" s="580" t="s">
        <v>1723</v>
      </c>
      <c r="E870" s="580" t="s">
        <v>100</v>
      </c>
      <c r="F870" s="580" t="s">
        <v>436</v>
      </c>
      <c r="G870" s="581">
        <v>-400</v>
      </c>
      <c r="H870" s="580" t="s">
        <v>1641</v>
      </c>
      <c r="I870" s="580" t="s">
        <v>100</v>
      </c>
      <c r="J870" s="581">
        <v>0</v>
      </c>
      <c r="K870" s="592">
        <v>44950</v>
      </c>
      <c r="L870" s="593">
        <v>1846331</v>
      </c>
      <c r="M870" s="580" t="s">
        <v>100</v>
      </c>
      <c r="N870" s="580" t="s">
        <v>100</v>
      </c>
      <c r="O870" s="580" t="s">
        <v>1646</v>
      </c>
      <c r="P870" s="582" t="s">
        <v>100</v>
      </c>
    </row>
    <row r="871" spans="1:16" ht="15">
      <c r="A871" s="594">
        <v>44950</v>
      </c>
      <c r="B871" s="584" t="s">
        <v>1902</v>
      </c>
      <c r="C871" s="584" t="s">
        <v>430</v>
      </c>
      <c r="D871" s="584" t="s">
        <v>1723</v>
      </c>
      <c r="E871" s="584" t="s">
        <v>100</v>
      </c>
      <c r="F871" s="584" t="s">
        <v>436</v>
      </c>
      <c r="G871" s="585">
        <v>-400</v>
      </c>
      <c r="H871" s="584" t="s">
        <v>1641</v>
      </c>
      <c r="I871" s="584" t="s">
        <v>100</v>
      </c>
      <c r="J871" s="585">
        <v>0</v>
      </c>
      <c r="K871" s="595">
        <v>44950</v>
      </c>
      <c r="L871" s="596">
        <v>1846329</v>
      </c>
      <c r="M871" s="584" t="s">
        <v>100</v>
      </c>
      <c r="N871" s="584" t="s">
        <v>100</v>
      </c>
      <c r="O871" s="584" t="s">
        <v>1646</v>
      </c>
      <c r="P871" s="586" t="s">
        <v>100</v>
      </c>
    </row>
    <row r="872" spans="1:16" ht="15">
      <c r="A872" s="591">
        <v>44950</v>
      </c>
      <c r="B872" s="580" t="s">
        <v>1903</v>
      </c>
      <c r="C872" s="580" t="s">
        <v>430</v>
      </c>
      <c r="D872" s="580" t="s">
        <v>1723</v>
      </c>
      <c r="E872" s="580" t="s">
        <v>100</v>
      </c>
      <c r="F872" s="580" t="s">
        <v>436</v>
      </c>
      <c r="G872" s="581">
        <v>-400</v>
      </c>
      <c r="H872" s="580" t="s">
        <v>1641</v>
      </c>
      <c r="I872" s="580" t="s">
        <v>100</v>
      </c>
      <c r="J872" s="581">
        <v>0</v>
      </c>
      <c r="K872" s="592">
        <v>44950</v>
      </c>
      <c r="L872" s="593">
        <v>1846327</v>
      </c>
      <c r="M872" s="580" t="s">
        <v>100</v>
      </c>
      <c r="N872" s="580" t="s">
        <v>100</v>
      </c>
      <c r="O872" s="580" t="s">
        <v>1646</v>
      </c>
      <c r="P872" s="582" t="s">
        <v>100</v>
      </c>
    </row>
    <row r="873" spans="1:16" ht="15">
      <c r="A873" s="594">
        <v>44950</v>
      </c>
      <c r="B873" s="584" t="s">
        <v>1904</v>
      </c>
      <c r="C873" s="584" t="s">
        <v>430</v>
      </c>
      <c r="D873" s="584" t="s">
        <v>1723</v>
      </c>
      <c r="E873" s="584" t="s">
        <v>100</v>
      </c>
      <c r="F873" s="584" t="s">
        <v>436</v>
      </c>
      <c r="G873" s="585">
        <v>-400</v>
      </c>
      <c r="H873" s="584" t="s">
        <v>1641</v>
      </c>
      <c r="I873" s="584" t="s">
        <v>100</v>
      </c>
      <c r="J873" s="585">
        <v>0</v>
      </c>
      <c r="K873" s="595">
        <v>44950</v>
      </c>
      <c r="L873" s="596">
        <v>1846325</v>
      </c>
      <c r="M873" s="584" t="s">
        <v>100</v>
      </c>
      <c r="N873" s="584" t="s">
        <v>100</v>
      </c>
      <c r="O873" s="584" t="s">
        <v>1646</v>
      </c>
      <c r="P873" s="586" t="s">
        <v>100</v>
      </c>
    </row>
    <row r="874" spans="1:16" ht="15">
      <c r="A874" s="591">
        <v>44950</v>
      </c>
      <c r="B874" s="580" t="s">
        <v>1905</v>
      </c>
      <c r="C874" s="580" t="s">
        <v>430</v>
      </c>
      <c r="D874" s="580" t="s">
        <v>1723</v>
      </c>
      <c r="E874" s="580" t="s">
        <v>100</v>
      </c>
      <c r="F874" s="580" t="s">
        <v>436</v>
      </c>
      <c r="G874" s="581">
        <v>-400</v>
      </c>
      <c r="H874" s="580" t="s">
        <v>1641</v>
      </c>
      <c r="I874" s="580" t="s">
        <v>100</v>
      </c>
      <c r="J874" s="581">
        <v>0</v>
      </c>
      <c r="K874" s="592">
        <v>44950</v>
      </c>
      <c r="L874" s="593">
        <v>1846323</v>
      </c>
      <c r="M874" s="580" t="s">
        <v>100</v>
      </c>
      <c r="N874" s="580" t="s">
        <v>100</v>
      </c>
      <c r="O874" s="580" t="s">
        <v>1646</v>
      </c>
      <c r="P874" s="582" t="s">
        <v>100</v>
      </c>
    </row>
    <row r="875" spans="1:16" ht="15">
      <c r="A875" s="594">
        <v>44950</v>
      </c>
      <c r="B875" s="584" t="s">
        <v>1906</v>
      </c>
      <c r="C875" s="584" t="s">
        <v>430</v>
      </c>
      <c r="D875" s="584" t="s">
        <v>1723</v>
      </c>
      <c r="E875" s="584" t="s">
        <v>100</v>
      </c>
      <c r="F875" s="584" t="s">
        <v>436</v>
      </c>
      <c r="G875" s="585">
        <v>-400</v>
      </c>
      <c r="H875" s="584" t="s">
        <v>1641</v>
      </c>
      <c r="I875" s="584" t="s">
        <v>100</v>
      </c>
      <c r="J875" s="585">
        <v>0</v>
      </c>
      <c r="K875" s="595">
        <v>44950</v>
      </c>
      <c r="L875" s="596">
        <v>1846321</v>
      </c>
      <c r="M875" s="584" t="s">
        <v>100</v>
      </c>
      <c r="N875" s="584" t="s">
        <v>100</v>
      </c>
      <c r="O875" s="584" t="s">
        <v>1646</v>
      </c>
      <c r="P875" s="586" t="s">
        <v>100</v>
      </c>
    </row>
    <row r="876" spans="1:16" ht="15">
      <c r="A876" s="591">
        <v>44950</v>
      </c>
      <c r="B876" s="580" t="s">
        <v>1907</v>
      </c>
      <c r="C876" s="580" t="s">
        <v>430</v>
      </c>
      <c r="D876" s="580" t="s">
        <v>1723</v>
      </c>
      <c r="E876" s="580" t="s">
        <v>100</v>
      </c>
      <c r="F876" s="580" t="s">
        <v>436</v>
      </c>
      <c r="G876" s="581">
        <v>-400</v>
      </c>
      <c r="H876" s="580" t="s">
        <v>1641</v>
      </c>
      <c r="I876" s="580" t="s">
        <v>100</v>
      </c>
      <c r="J876" s="581">
        <v>0</v>
      </c>
      <c r="K876" s="592">
        <v>44950</v>
      </c>
      <c r="L876" s="593">
        <v>1846319</v>
      </c>
      <c r="M876" s="580" t="s">
        <v>100</v>
      </c>
      <c r="N876" s="580" t="s">
        <v>100</v>
      </c>
      <c r="O876" s="580" t="s">
        <v>1646</v>
      </c>
      <c r="P876" s="582" t="s">
        <v>100</v>
      </c>
    </row>
    <row r="877" spans="1:16" ht="15">
      <c r="A877" s="594">
        <v>44950</v>
      </c>
      <c r="B877" s="584" t="s">
        <v>1908</v>
      </c>
      <c r="C877" s="584" t="s">
        <v>430</v>
      </c>
      <c r="D877" s="584" t="s">
        <v>1723</v>
      </c>
      <c r="E877" s="584" t="s">
        <v>100</v>
      </c>
      <c r="F877" s="584" t="s">
        <v>436</v>
      </c>
      <c r="G877" s="585">
        <v>-400</v>
      </c>
      <c r="H877" s="584" t="s">
        <v>1641</v>
      </c>
      <c r="I877" s="584" t="s">
        <v>100</v>
      </c>
      <c r="J877" s="585">
        <v>0</v>
      </c>
      <c r="K877" s="595">
        <v>44950</v>
      </c>
      <c r="L877" s="596">
        <v>1846317</v>
      </c>
      <c r="M877" s="584" t="s">
        <v>100</v>
      </c>
      <c r="N877" s="584" t="s">
        <v>100</v>
      </c>
      <c r="O877" s="584" t="s">
        <v>1646</v>
      </c>
      <c r="P877" s="586" t="s">
        <v>100</v>
      </c>
    </row>
    <row r="878" spans="1:16" ht="15">
      <c r="A878" s="591">
        <v>44950</v>
      </c>
      <c r="B878" s="580" t="s">
        <v>1909</v>
      </c>
      <c r="C878" s="580" t="s">
        <v>430</v>
      </c>
      <c r="D878" s="580" t="s">
        <v>1723</v>
      </c>
      <c r="E878" s="580" t="s">
        <v>100</v>
      </c>
      <c r="F878" s="580" t="s">
        <v>436</v>
      </c>
      <c r="G878" s="581">
        <v>-400</v>
      </c>
      <c r="H878" s="580" t="s">
        <v>1641</v>
      </c>
      <c r="I878" s="580" t="s">
        <v>100</v>
      </c>
      <c r="J878" s="581">
        <v>0</v>
      </c>
      <c r="K878" s="592">
        <v>44950</v>
      </c>
      <c r="L878" s="593">
        <v>1846315</v>
      </c>
      <c r="M878" s="580" t="s">
        <v>100</v>
      </c>
      <c r="N878" s="580" t="s">
        <v>100</v>
      </c>
      <c r="O878" s="580" t="s">
        <v>1646</v>
      </c>
      <c r="P878" s="582" t="s">
        <v>100</v>
      </c>
    </row>
    <row r="879" spans="1:16" ht="15">
      <c r="A879" s="594">
        <v>44950</v>
      </c>
      <c r="B879" s="584" t="s">
        <v>1910</v>
      </c>
      <c r="C879" s="584" t="s">
        <v>430</v>
      </c>
      <c r="D879" s="584" t="s">
        <v>1723</v>
      </c>
      <c r="E879" s="584" t="s">
        <v>100</v>
      </c>
      <c r="F879" s="584" t="s">
        <v>436</v>
      </c>
      <c r="G879" s="585">
        <v>-400</v>
      </c>
      <c r="H879" s="584" t="s">
        <v>1641</v>
      </c>
      <c r="I879" s="584" t="s">
        <v>100</v>
      </c>
      <c r="J879" s="585">
        <v>0</v>
      </c>
      <c r="K879" s="595">
        <v>44950</v>
      </c>
      <c r="L879" s="596">
        <v>1846313</v>
      </c>
      <c r="M879" s="584" t="s">
        <v>100</v>
      </c>
      <c r="N879" s="584" t="s">
        <v>100</v>
      </c>
      <c r="O879" s="584" t="s">
        <v>1646</v>
      </c>
      <c r="P879" s="586" t="s">
        <v>100</v>
      </c>
    </row>
    <row r="880" spans="1:16" ht="15">
      <c r="A880" s="591">
        <v>44950</v>
      </c>
      <c r="B880" s="580" t="s">
        <v>1911</v>
      </c>
      <c r="C880" s="580" t="s">
        <v>430</v>
      </c>
      <c r="D880" s="580" t="s">
        <v>1723</v>
      </c>
      <c r="E880" s="580" t="s">
        <v>100</v>
      </c>
      <c r="F880" s="580" t="s">
        <v>436</v>
      </c>
      <c r="G880" s="581">
        <v>-400</v>
      </c>
      <c r="H880" s="580" t="s">
        <v>1641</v>
      </c>
      <c r="I880" s="580" t="s">
        <v>100</v>
      </c>
      <c r="J880" s="581">
        <v>0</v>
      </c>
      <c r="K880" s="592">
        <v>44950</v>
      </c>
      <c r="L880" s="593">
        <v>1846311</v>
      </c>
      <c r="M880" s="580" t="s">
        <v>100</v>
      </c>
      <c r="N880" s="580" t="s">
        <v>100</v>
      </c>
      <c r="O880" s="580" t="s">
        <v>1646</v>
      </c>
      <c r="P880" s="582" t="s">
        <v>100</v>
      </c>
    </row>
    <row r="881" spans="1:16" ht="15">
      <c r="A881" s="594">
        <v>44950</v>
      </c>
      <c r="B881" s="584" t="s">
        <v>1912</v>
      </c>
      <c r="C881" s="584" t="s">
        <v>430</v>
      </c>
      <c r="D881" s="584" t="s">
        <v>1723</v>
      </c>
      <c r="E881" s="584" t="s">
        <v>100</v>
      </c>
      <c r="F881" s="584" t="s">
        <v>436</v>
      </c>
      <c r="G881" s="585">
        <v>-400</v>
      </c>
      <c r="H881" s="584" t="s">
        <v>1641</v>
      </c>
      <c r="I881" s="584" t="s">
        <v>100</v>
      </c>
      <c r="J881" s="585">
        <v>0</v>
      </c>
      <c r="K881" s="595">
        <v>44950</v>
      </c>
      <c r="L881" s="596">
        <v>1846309</v>
      </c>
      <c r="M881" s="584" t="s">
        <v>100</v>
      </c>
      <c r="N881" s="584" t="s">
        <v>100</v>
      </c>
      <c r="O881" s="584" t="s">
        <v>1646</v>
      </c>
      <c r="P881" s="586" t="s">
        <v>100</v>
      </c>
    </row>
    <row r="882" spans="1:16" ht="15">
      <c r="A882" s="591">
        <v>44950</v>
      </c>
      <c r="B882" s="580" t="s">
        <v>1913</v>
      </c>
      <c r="C882" s="580" t="s">
        <v>430</v>
      </c>
      <c r="D882" s="580" t="s">
        <v>1723</v>
      </c>
      <c r="E882" s="580" t="s">
        <v>100</v>
      </c>
      <c r="F882" s="580" t="s">
        <v>436</v>
      </c>
      <c r="G882" s="581">
        <v>-400</v>
      </c>
      <c r="H882" s="580" t="s">
        <v>1641</v>
      </c>
      <c r="I882" s="580" t="s">
        <v>100</v>
      </c>
      <c r="J882" s="581">
        <v>0</v>
      </c>
      <c r="K882" s="592">
        <v>44950</v>
      </c>
      <c r="L882" s="593">
        <v>1846307</v>
      </c>
      <c r="M882" s="580" t="s">
        <v>100</v>
      </c>
      <c r="N882" s="580" t="s">
        <v>100</v>
      </c>
      <c r="O882" s="580" t="s">
        <v>1646</v>
      </c>
      <c r="P882" s="582" t="s">
        <v>100</v>
      </c>
    </row>
    <row r="883" spans="1:16" ht="15">
      <c r="A883" s="594">
        <v>44950</v>
      </c>
      <c r="B883" s="584" t="s">
        <v>1914</v>
      </c>
      <c r="C883" s="584" t="s">
        <v>430</v>
      </c>
      <c r="D883" s="584" t="s">
        <v>1723</v>
      </c>
      <c r="E883" s="584" t="s">
        <v>100</v>
      </c>
      <c r="F883" s="584" t="s">
        <v>436</v>
      </c>
      <c r="G883" s="585">
        <v>-400</v>
      </c>
      <c r="H883" s="584" t="s">
        <v>1641</v>
      </c>
      <c r="I883" s="584" t="s">
        <v>100</v>
      </c>
      <c r="J883" s="585">
        <v>0</v>
      </c>
      <c r="K883" s="595">
        <v>44950</v>
      </c>
      <c r="L883" s="596">
        <v>1846305</v>
      </c>
      <c r="M883" s="584" t="s">
        <v>100</v>
      </c>
      <c r="N883" s="584" t="s">
        <v>100</v>
      </c>
      <c r="O883" s="584" t="s">
        <v>1646</v>
      </c>
      <c r="P883" s="586" t="s">
        <v>100</v>
      </c>
    </row>
    <row r="884" spans="1:16" ht="15">
      <c r="A884" s="591">
        <v>44950</v>
      </c>
      <c r="B884" s="580" t="s">
        <v>1915</v>
      </c>
      <c r="C884" s="580" t="s">
        <v>430</v>
      </c>
      <c r="D884" s="580" t="s">
        <v>1723</v>
      </c>
      <c r="E884" s="580" t="s">
        <v>100</v>
      </c>
      <c r="F884" s="580" t="s">
        <v>436</v>
      </c>
      <c r="G884" s="581">
        <v>-400</v>
      </c>
      <c r="H884" s="580" t="s">
        <v>1641</v>
      </c>
      <c r="I884" s="580" t="s">
        <v>100</v>
      </c>
      <c r="J884" s="581">
        <v>0</v>
      </c>
      <c r="K884" s="592">
        <v>44950</v>
      </c>
      <c r="L884" s="593">
        <v>1846303</v>
      </c>
      <c r="M884" s="580" t="s">
        <v>100</v>
      </c>
      <c r="N884" s="580" t="s">
        <v>100</v>
      </c>
      <c r="O884" s="580" t="s">
        <v>1646</v>
      </c>
      <c r="P884" s="582" t="s">
        <v>100</v>
      </c>
    </row>
    <row r="885" spans="1:16" ht="15">
      <c r="A885" s="594">
        <v>44950</v>
      </c>
      <c r="B885" s="584" t="s">
        <v>1916</v>
      </c>
      <c r="C885" s="584" t="s">
        <v>430</v>
      </c>
      <c r="D885" s="584" t="s">
        <v>1723</v>
      </c>
      <c r="E885" s="584" t="s">
        <v>100</v>
      </c>
      <c r="F885" s="584" t="s">
        <v>436</v>
      </c>
      <c r="G885" s="585">
        <v>-400</v>
      </c>
      <c r="H885" s="584" t="s">
        <v>1641</v>
      </c>
      <c r="I885" s="584" t="s">
        <v>100</v>
      </c>
      <c r="J885" s="585">
        <v>0</v>
      </c>
      <c r="K885" s="595">
        <v>44950</v>
      </c>
      <c r="L885" s="596">
        <v>1846301</v>
      </c>
      <c r="M885" s="584" t="s">
        <v>100</v>
      </c>
      <c r="N885" s="584" t="s">
        <v>100</v>
      </c>
      <c r="O885" s="584" t="s">
        <v>1646</v>
      </c>
      <c r="P885" s="586" t="s">
        <v>100</v>
      </c>
    </row>
    <row r="886" spans="1:16" ht="15">
      <c r="A886" s="591">
        <v>44950</v>
      </c>
      <c r="B886" s="580" t="s">
        <v>1917</v>
      </c>
      <c r="C886" s="580" t="s">
        <v>430</v>
      </c>
      <c r="D886" s="580" t="s">
        <v>1723</v>
      </c>
      <c r="E886" s="580" t="s">
        <v>100</v>
      </c>
      <c r="F886" s="580" t="s">
        <v>436</v>
      </c>
      <c r="G886" s="581">
        <v>-400</v>
      </c>
      <c r="H886" s="580" t="s">
        <v>1641</v>
      </c>
      <c r="I886" s="580" t="s">
        <v>100</v>
      </c>
      <c r="J886" s="581">
        <v>0</v>
      </c>
      <c r="K886" s="592">
        <v>44950</v>
      </c>
      <c r="L886" s="593">
        <v>1846299</v>
      </c>
      <c r="M886" s="580" t="s">
        <v>100</v>
      </c>
      <c r="N886" s="580" t="s">
        <v>100</v>
      </c>
      <c r="O886" s="580" t="s">
        <v>1646</v>
      </c>
      <c r="P886" s="582" t="s">
        <v>100</v>
      </c>
    </row>
    <row r="887" spans="1:16" ht="15">
      <c r="A887" s="594">
        <v>44950</v>
      </c>
      <c r="B887" s="584" t="s">
        <v>1918</v>
      </c>
      <c r="C887" s="584" t="s">
        <v>430</v>
      </c>
      <c r="D887" s="584" t="s">
        <v>1723</v>
      </c>
      <c r="E887" s="584" t="s">
        <v>100</v>
      </c>
      <c r="F887" s="584" t="s">
        <v>436</v>
      </c>
      <c r="G887" s="585">
        <v>-400</v>
      </c>
      <c r="H887" s="584" t="s">
        <v>1641</v>
      </c>
      <c r="I887" s="584" t="s">
        <v>100</v>
      </c>
      <c r="J887" s="585">
        <v>0</v>
      </c>
      <c r="K887" s="595">
        <v>44950</v>
      </c>
      <c r="L887" s="596">
        <v>1846297</v>
      </c>
      <c r="M887" s="584" t="s">
        <v>100</v>
      </c>
      <c r="N887" s="584" t="s">
        <v>100</v>
      </c>
      <c r="O887" s="584" t="s">
        <v>1646</v>
      </c>
      <c r="P887" s="586" t="s">
        <v>100</v>
      </c>
    </row>
    <row r="888" spans="1:16" ht="15">
      <c r="A888" s="591">
        <v>44950</v>
      </c>
      <c r="B888" s="580" t="s">
        <v>1919</v>
      </c>
      <c r="C888" s="580" t="s">
        <v>430</v>
      </c>
      <c r="D888" s="580" t="s">
        <v>1723</v>
      </c>
      <c r="E888" s="580" t="s">
        <v>100</v>
      </c>
      <c r="F888" s="580" t="s">
        <v>436</v>
      </c>
      <c r="G888" s="581">
        <v>-400</v>
      </c>
      <c r="H888" s="580" t="s">
        <v>1641</v>
      </c>
      <c r="I888" s="580" t="s">
        <v>100</v>
      </c>
      <c r="J888" s="581">
        <v>0</v>
      </c>
      <c r="K888" s="592">
        <v>44950</v>
      </c>
      <c r="L888" s="593">
        <v>1846295</v>
      </c>
      <c r="M888" s="580" t="s">
        <v>100</v>
      </c>
      <c r="N888" s="580" t="s">
        <v>100</v>
      </c>
      <c r="O888" s="580" t="s">
        <v>1646</v>
      </c>
      <c r="P888" s="582" t="s">
        <v>100</v>
      </c>
    </row>
    <row r="889" spans="1:16" ht="15">
      <c r="A889" s="594">
        <v>44950</v>
      </c>
      <c r="B889" s="584" t="s">
        <v>1920</v>
      </c>
      <c r="C889" s="584" t="s">
        <v>430</v>
      </c>
      <c r="D889" s="584" t="s">
        <v>1723</v>
      </c>
      <c r="E889" s="584" t="s">
        <v>100</v>
      </c>
      <c r="F889" s="584" t="s">
        <v>436</v>
      </c>
      <c r="G889" s="585">
        <v>-400</v>
      </c>
      <c r="H889" s="584" t="s">
        <v>1641</v>
      </c>
      <c r="I889" s="584" t="s">
        <v>100</v>
      </c>
      <c r="J889" s="585">
        <v>0</v>
      </c>
      <c r="K889" s="595">
        <v>44950</v>
      </c>
      <c r="L889" s="596">
        <v>1846293</v>
      </c>
      <c r="M889" s="584" t="s">
        <v>100</v>
      </c>
      <c r="N889" s="584" t="s">
        <v>100</v>
      </c>
      <c r="O889" s="584" t="s">
        <v>1646</v>
      </c>
      <c r="P889" s="586" t="s">
        <v>100</v>
      </c>
    </row>
    <row r="890" spans="1:16" ht="15">
      <c r="A890" s="591">
        <v>44950</v>
      </c>
      <c r="B890" s="580" t="s">
        <v>1921</v>
      </c>
      <c r="C890" s="580" t="s">
        <v>430</v>
      </c>
      <c r="D890" s="580" t="s">
        <v>1723</v>
      </c>
      <c r="E890" s="580" t="s">
        <v>100</v>
      </c>
      <c r="F890" s="580" t="s">
        <v>436</v>
      </c>
      <c r="G890" s="581">
        <v>-400</v>
      </c>
      <c r="H890" s="580" t="s">
        <v>1641</v>
      </c>
      <c r="I890" s="580" t="s">
        <v>100</v>
      </c>
      <c r="J890" s="581">
        <v>0</v>
      </c>
      <c r="K890" s="592">
        <v>44950</v>
      </c>
      <c r="L890" s="593">
        <v>1846291</v>
      </c>
      <c r="M890" s="580" t="s">
        <v>100</v>
      </c>
      <c r="N890" s="580" t="s">
        <v>100</v>
      </c>
      <c r="O890" s="580" t="s">
        <v>1646</v>
      </c>
      <c r="P890" s="582" t="s">
        <v>100</v>
      </c>
    </row>
    <row r="891" spans="1:16" ht="15">
      <c r="A891" s="594">
        <v>44950</v>
      </c>
      <c r="B891" s="584" t="s">
        <v>1922</v>
      </c>
      <c r="C891" s="584" t="s">
        <v>430</v>
      </c>
      <c r="D891" s="584" t="s">
        <v>1723</v>
      </c>
      <c r="E891" s="584" t="s">
        <v>100</v>
      </c>
      <c r="F891" s="584" t="s">
        <v>436</v>
      </c>
      <c r="G891" s="585">
        <v>-400</v>
      </c>
      <c r="H891" s="584" t="s">
        <v>1641</v>
      </c>
      <c r="I891" s="584" t="s">
        <v>100</v>
      </c>
      <c r="J891" s="585">
        <v>0</v>
      </c>
      <c r="K891" s="595">
        <v>44950</v>
      </c>
      <c r="L891" s="596">
        <v>1846289</v>
      </c>
      <c r="M891" s="584" t="s">
        <v>100</v>
      </c>
      <c r="N891" s="584" t="s">
        <v>100</v>
      </c>
      <c r="O891" s="584" t="s">
        <v>1646</v>
      </c>
      <c r="P891" s="586" t="s">
        <v>100</v>
      </c>
    </row>
    <row r="892" spans="1:16" ht="15">
      <c r="A892" s="591">
        <v>44950</v>
      </c>
      <c r="B892" s="580" t="s">
        <v>1923</v>
      </c>
      <c r="C892" s="580" t="s">
        <v>430</v>
      </c>
      <c r="D892" s="580" t="s">
        <v>1723</v>
      </c>
      <c r="E892" s="580" t="s">
        <v>100</v>
      </c>
      <c r="F892" s="580" t="s">
        <v>436</v>
      </c>
      <c r="G892" s="581">
        <v>-400</v>
      </c>
      <c r="H892" s="580" t="s">
        <v>1641</v>
      </c>
      <c r="I892" s="580" t="s">
        <v>100</v>
      </c>
      <c r="J892" s="581">
        <v>0</v>
      </c>
      <c r="K892" s="592">
        <v>44950</v>
      </c>
      <c r="L892" s="593">
        <v>1846287</v>
      </c>
      <c r="M892" s="580" t="s">
        <v>100</v>
      </c>
      <c r="N892" s="580" t="s">
        <v>100</v>
      </c>
      <c r="O892" s="580" t="s">
        <v>1646</v>
      </c>
      <c r="P892" s="582" t="s">
        <v>100</v>
      </c>
    </row>
    <row r="893" spans="1:16" ht="15">
      <c r="A893" s="594">
        <v>44950</v>
      </c>
      <c r="B893" s="584" t="s">
        <v>1924</v>
      </c>
      <c r="C893" s="584" t="s">
        <v>430</v>
      </c>
      <c r="D893" s="584" t="s">
        <v>1723</v>
      </c>
      <c r="E893" s="584" t="s">
        <v>100</v>
      </c>
      <c r="F893" s="584" t="s">
        <v>436</v>
      </c>
      <c r="G893" s="585">
        <v>-400</v>
      </c>
      <c r="H893" s="584" t="s">
        <v>1641</v>
      </c>
      <c r="I893" s="584" t="s">
        <v>100</v>
      </c>
      <c r="J893" s="585">
        <v>0</v>
      </c>
      <c r="K893" s="595">
        <v>44950</v>
      </c>
      <c r="L893" s="596">
        <v>1846285</v>
      </c>
      <c r="M893" s="584" t="s">
        <v>100</v>
      </c>
      <c r="N893" s="584" t="s">
        <v>100</v>
      </c>
      <c r="O893" s="584" t="s">
        <v>1646</v>
      </c>
      <c r="P893" s="586" t="s">
        <v>100</v>
      </c>
    </row>
    <row r="894" spans="1:16" ht="15">
      <c r="A894" s="591">
        <v>44950</v>
      </c>
      <c r="B894" s="580" t="s">
        <v>1925</v>
      </c>
      <c r="C894" s="580" t="s">
        <v>430</v>
      </c>
      <c r="D894" s="580" t="s">
        <v>1723</v>
      </c>
      <c r="E894" s="580" t="s">
        <v>100</v>
      </c>
      <c r="F894" s="580" t="s">
        <v>436</v>
      </c>
      <c r="G894" s="581">
        <v>-400</v>
      </c>
      <c r="H894" s="580" t="s">
        <v>1641</v>
      </c>
      <c r="I894" s="580" t="s">
        <v>100</v>
      </c>
      <c r="J894" s="581">
        <v>0</v>
      </c>
      <c r="K894" s="592">
        <v>44950</v>
      </c>
      <c r="L894" s="593">
        <v>1846283</v>
      </c>
      <c r="M894" s="580" t="s">
        <v>100</v>
      </c>
      <c r="N894" s="580" t="s">
        <v>100</v>
      </c>
      <c r="O894" s="580" t="s">
        <v>1646</v>
      </c>
      <c r="P894" s="582" t="s">
        <v>100</v>
      </c>
    </row>
    <row r="895" spans="1:16" ht="15">
      <c r="A895" s="594">
        <v>44950</v>
      </c>
      <c r="B895" s="584" t="s">
        <v>1926</v>
      </c>
      <c r="C895" s="584" t="s">
        <v>430</v>
      </c>
      <c r="D895" s="584" t="s">
        <v>1723</v>
      </c>
      <c r="E895" s="584" t="s">
        <v>100</v>
      </c>
      <c r="F895" s="584" t="s">
        <v>436</v>
      </c>
      <c r="G895" s="585">
        <v>-400</v>
      </c>
      <c r="H895" s="584" t="s">
        <v>1641</v>
      </c>
      <c r="I895" s="584" t="s">
        <v>100</v>
      </c>
      <c r="J895" s="585">
        <v>0</v>
      </c>
      <c r="K895" s="595">
        <v>44950</v>
      </c>
      <c r="L895" s="596">
        <v>1846281</v>
      </c>
      <c r="M895" s="584" t="s">
        <v>100</v>
      </c>
      <c r="N895" s="584" t="s">
        <v>100</v>
      </c>
      <c r="O895" s="584" t="s">
        <v>1646</v>
      </c>
      <c r="P895" s="586" t="s">
        <v>100</v>
      </c>
    </row>
    <row r="896" spans="1:16" ht="15">
      <c r="A896" s="591">
        <v>44950</v>
      </c>
      <c r="B896" s="580" t="s">
        <v>1927</v>
      </c>
      <c r="C896" s="580" t="s">
        <v>430</v>
      </c>
      <c r="D896" s="580" t="s">
        <v>1723</v>
      </c>
      <c r="E896" s="580" t="s">
        <v>100</v>
      </c>
      <c r="F896" s="580" t="s">
        <v>436</v>
      </c>
      <c r="G896" s="581">
        <v>-400</v>
      </c>
      <c r="H896" s="580" t="s">
        <v>1641</v>
      </c>
      <c r="I896" s="580" t="s">
        <v>100</v>
      </c>
      <c r="J896" s="581">
        <v>0</v>
      </c>
      <c r="K896" s="592">
        <v>44950</v>
      </c>
      <c r="L896" s="593">
        <v>1846279</v>
      </c>
      <c r="M896" s="580" t="s">
        <v>100</v>
      </c>
      <c r="N896" s="580" t="s">
        <v>100</v>
      </c>
      <c r="O896" s="580" t="s">
        <v>1646</v>
      </c>
      <c r="P896" s="582" t="s">
        <v>100</v>
      </c>
    </row>
    <row r="897" spans="1:16" ht="15">
      <c r="A897" s="594">
        <v>44950</v>
      </c>
      <c r="B897" s="584" t="s">
        <v>1928</v>
      </c>
      <c r="C897" s="584" t="s">
        <v>430</v>
      </c>
      <c r="D897" s="584" t="s">
        <v>1723</v>
      </c>
      <c r="E897" s="584" t="s">
        <v>100</v>
      </c>
      <c r="F897" s="584" t="s">
        <v>436</v>
      </c>
      <c r="G897" s="585">
        <v>-400</v>
      </c>
      <c r="H897" s="584" t="s">
        <v>1641</v>
      </c>
      <c r="I897" s="584" t="s">
        <v>100</v>
      </c>
      <c r="J897" s="585">
        <v>0</v>
      </c>
      <c r="K897" s="595">
        <v>44950</v>
      </c>
      <c r="L897" s="596">
        <v>1846277</v>
      </c>
      <c r="M897" s="584" t="s">
        <v>100</v>
      </c>
      <c r="N897" s="584" t="s">
        <v>100</v>
      </c>
      <c r="O897" s="584" t="s">
        <v>1646</v>
      </c>
      <c r="P897" s="586" t="s">
        <v>100</v>
      </c>
    </row>
    <row r="898" spans="1:16" ht="15">
      <c r="A898" s="591">
        <v>44950</v>
      </c>
      <c r="B898" s="580" t="s">
        <v>1929</v>
      </c>
      <c r="C898" s="580" t="s">
        <v>430</v>
      </c>
      <c r="D898" s="580" t="s">
        <v>1723</v>
      </c>
      <c r="E898" s="580" t="s">
        <v>100</v>
      </c>
      <c r="F898" s="580" t="s">
        <v>436</v>
      </c>
      <c r="G898" s="581">
        <v>-400</v>
      </c>
      <c r="H898" s="580" t="s">
        <v>1641</v>
      </c>
      <c r="I898" s="580" t="s">
        <v>100</v>
      </c>
      <c r="J898" s="581">
        <v>0</v>
      </c>
      <c r="K898" s="592">
        <v>44950</v>
      </c>
      <c r="L898" s="593">
        <v>1846275</v>
      </c>
      <c r="M898" s="580" t="s">
        <v>100</v>
      </c>
      <c r="N898" s="580" t="s">
        <v>100</v>
      </c>
      <c r="O898" s="580" t="s">
        <v>1646</v>
      </c>
      <c r="P898" s="582" t="s">
        <v>100</v>
      </c>
    </row>
    <row r="899" spans="1:16" ht="15">
      <c r="A899" s="594">
        <v>44950</v>
      </c>
      <c r="B899" s="584" t="s">
        <v>1930</v>
      </c>
      <c r="C899" s="584" t="s">
        <v>430</v>
      </c>
      <c r="D899" s="584" t="s">
        <v>1723</v>
      </c>
      <c r="E899" s="584" t="s">
        <v>100</v>
      </c>
      <c r="F899" s="584" t="s">
        <v>436</v>
      </c>
      <c r="G899" s="585">
        <v>-400</v>
      </c>
      <c r="H899" s="584" t="s">
        <v>1641</v>
      </c>
      <c r="I899" s="584" t="s">
        <v>100</v>
      </c>
      <c r="J899" s="585">
        <v>0</v>
      </c>
      <c r="K899" s="595">
        <v>44950</v>
      </c>
      <c r="L899" s="596">
        <v>1846273</v>
      </c>
      <c r="M899" s="584" t="s">
        <v>100</v>
      </c>
      <c r="N899" s="584" t="s">
        <v>100</v>
      </c>
      <c r="O899" s="584" t="s">
        <v>1646</v>
      </c>
      <c r="P899" s="586" t="s">
        <v>100</v>
      </c>
    </row>
    <row r="900" spans="1:16" ht="15">
      <c r="A900" s="591">
        <v>44950</v>
      </c>
      <c r="B900" s="580" t="s">
        <v>1931</v>
      </c>
      <c r="C900" s="580" t="s">
        <v>430</v>
      </c>
      <c r="D900" s="580" t="s">
        <v>1723</v>
      </c>
      <c r="E900" s="580" t="s">
        <v>100</v>
      </c>
      <c r="F900" s="580" t="s">
        <v>436</v>
      </c>
      <c r="G900" s="581">
        <v>-400</v>
      </c>
      <c r="H900" s="580" t="s">
        <v>1641</v>
      </c>
      <c r="I900" s="580" t="s">
        <v>100</v>
      </c>
      <c r="J900" s="581">
        <v>0</v>
      </c>
      <c r="K900" s="592">
        <v>44950</v>
      </c>
      <c r="L900" s="593">
        <v>1846271</v>
      </c>
      <c r="M900" s="580" t="s">
        <v>100</v>
      </c>
      <c r="N900" s="580" t="s">
        <v>100</v>
      </c>
      <c r="O900" s="580" t="s">
        <v>1646</v>
      </c>
      <c r="P900" s="582" t="s">
        <v>100</v>
      </c>
    </row>
    <row r="901" spans="1:16" ht="15">
      <c r="A901" s="594">
        <v>44950</v>
      </c>
      <c r="B901" s="584" t="s">
        <v>1932</v>
      </c>
      <c r="C901" s="584" t="s">
        <v>430</v>
      </c>
      <c r="D901" s="584" t="s">
        <v>1723</v>
      </c>
      <c r="E901" s="584" t="s">
        <v>100</v>
      </c>
      <c r="F901" s="584" t="s">
        <v>436</v>
      </c>
      <c r="G901" s="585">
        <v>-400</v>
      </c>
      <c r="H901" s="584" t="s">
        <v>1641</v>
      </c>
      <c r="I901" s="584" t="s">
        <v>100</v>
      </c>
      <c r="J901" s="585">
        <v>0</v>
      </c>
      <c r="K901" s="595">
        <v>44950</v>
      </c>
      <c r="L901" s="596">
        <v>1846269</v>
      </c>
      <c r="M901" s="584" t="s">
        <v>100</v>
      </c>
      <c r="N901" s="584" t="s">
        <v>100</v>
      </c>
      <c r="O901" s="584" t="s">
        <v>1646</v>
      </c>
      <c r="P901" s="586" t="s">
        <v>100</v>
      </c>
    </row>
    <row r="902" spans="1:16" ht="15">
      <c r="A902" s="591">
        <v>44950</v>
      </c>
      <c r="B902" s="580" t="s">
        <v>1933</v>
      </c>
      <c r="C902" s="580" t="s">
        <v>430</v>
      </c>
      <c r="D902" s="580" t="s">
        <v>1723</v>
      </c>
      <c r="E902" s="580" t="s">
        <v>100</v>
      </c>
      <c r="F902" s="580" t="s">
        <v>436</v>
      </c>
      <c r="G902" s="581">
        <v>-400</v>
      </c>
      <c r="H902" s="580" t="s">
        <v>1641</v>
      </c>
      <c r="I902" s="580" t="s">
        <v>100</v>
      </c>
      <c r="J902" s="581">
        <v>0</v>
      </c>
      <c r="K902" s="592">
        <v>44950</v>
      </c>
      <c r="L902" s="593">
        <v>1846267</v>
      </c>
      <c r="M902" s="580" t="s">
        <v>100</v>
      </c>
      <c r="N902" s="580" t="s">
        <v>100</v>
      </c>
      <c r="O902" s="580" t="s">
        <v>1646</v>
      </c>
      <c r="P902" s="582" t="s">
        <v>100</v>
      </c>
    </row>
    <row r="903" spans="1:16" ht="15">
      <c r="A903" s="594">
        <v>44950</v>
      </c>
      <c r="B903" s="584" t="s">
        <v>1934</v>
      </c>
      <c r="C903" s="584" t="s">
        <v>430</v>
      </c>
      <c r="D903" s="584" t="s">
        <v>1723</v>
      </c>
      <c r="E903" s="584" t="s">
        <v>100</v>
      </c>
      <c r="F903" s="584" t="s">
        <v>436</v>
      </c>
      <c r="G903" s="585">
        <v>-400</v>
      </c>
      <c r="H903" s="584" t="s">
        <v>1641</v>
      </c>
      <c r="I903" s="584" t="s">
        <v>100</v>
      </c>
      <c r="J903" s="585">
        <v>0</v>
      </c>
      <c r="K903" s="595">
        <v>44950</v>
      </c>
      <c r="L903" s="596">
        <v>1846265</v>
      </c>
      <c r="M903" s="584" t="s">
        <v>100</v>
      </c>
      <c r="N903" s="584" t="s">
        <v>100</v>
      </c>
      <c r="O903" s="584" t="s">
        <v>1646</v>
      </c>
      <c r="P903" s="586" t="s">
        <v>100</v>
      </c>
    </row>
    <row r="904" spans="1:16" ht="15">
      <c r="A904" s="591">
        <v>44950</v>
      </c>
      <c r="B904" s="580" t="s">
        <v>1935</v>
      </c>
      <c r="C904" s="580" t="s">
        <v>430</v>
      </c>
      <c r="D904" s="580" t="s">
        <v>1723</v>
      </c>
      <c r="E904" s="580" t="s">
        <v>100</v>
      </c>
      <c r="F904" s="580" t="s">
        <v>436</v>
      </c>
      <c r="G904" s="581">
        <v>-400</v>
      </c>
      <c r="H904" s="580" t="s">
        <v>1641</v>
      </c>
      <c r="I904" s="580" t="s">
        <v>100</v>
      </c>
      <c r="J904" s="581">
        <v>0</v>
      </c>
      <c r="K904" s="592">
        <v>44950</v>
      </c>
      <c r="L904" s="593">
        <v>1846263</v>
      </c>
      <c r="M904" s="580" t="s">
        <v>100</v>
      </c>
      <c r="N904" s="580" t="s">
        <v>100</v>
      </c>
      <c r="O904" s="580" t="s">
        <v>1646</v>
      </c>
      <c r="P904" s="582" t="s">
        <v>100</v>
      </c>
    </row>
    <row r="905" spans="1:16" ht="15">
      <c r="A905" s="594">
        <v>44950</v>
      </c>
      <c r="B905" s="584" t="s">
        <v>1936</v>
      </c>
      <c r="C905" s="584" t="s">
        <v>430</v>
      </c>
      <c r="D905" s="584" t="s">
        <v>1723</v>
      </c>
      <c r="E905" s="584" t="s">
        <v>100</v>
      </c>
      <c r="F905" s="584" t="s">
        <v>436</v>
      </c>
      <c r="G905" s="585">
        <v>-400</v>
      </c>
      <c r="H905" s="584" t="s">
        <v>1641</v>
      </c>
      <c r="I905" s="584" t="s">
        <v>100</v>
      </c>
      <c r="J905" s="585">
        <v>0</v>
      </c>
      <c r="K905" s="595">
        <v>44950</v>
      </c>
      <c r="L905" s="596">
        <v>1846261</v>
      </c>
      <c r="M905" s="584" t="s">
        <v>100</v>
      </c>
      <c r="N905" s="584" t="s">
        <v>100</v>
      </c>
      <c r="O905" s="584" t="s">
        <v>1646</v>
      </c>
      <c r="P905" s="586" t="s">
        <v>100</v>
      </c>
    </row>
    <row r="906" spans="1:16" ht="15">
      <c r="A906" s="591">
        <v>44950</v>
      </c>
      <c r="B906" s="580" t="s">
        <v>1937</v>
      </c>
      <c r="C906" s="580" t="s">
        <v>430</v>
      </c>
      <c r="D906" s="580" t="s">
        <v>1723</v>
      </c>
      <c r="E906" s="580" t="s">
        <v>100</v>
      </c>
      <c r="F906" s="580" t="s">
        <v>436</v>
      </c>
      <c r="G906" s="581">
        <v>-400</v>
      </c>
      <c r="H906" s="580" t="s">
        <v>1641</v>
      </c>
      <c r="I906" s="580" t="s">
        <v>100</v>
      </c>
      <c r="J906" s="581">
        <v>0</v>
      </c>
      <c r="K906" s="592">
        <v>44950</v>
      </c>
      <c r="L906" s="593">
        <v>1846259</v>
      </c>
      <c r="M906" s="580" t="s">
        <v>100</v>
      </c>
      <c r="N906" s="580" t="s">
        <v>100</v>
      </c>
      <c r="O906" s="580" t="s">
        <v>1646</v>
      </c>
      <c r="P906" s="582" t="s">
        <v>100</v>
      </c>
    </row>
    <row r="907" spans="1:16" ht="15">
      <c r="A907" s="594">
        <v>44950</v>
      </c>
      <c r="B907" s="584" t="s">
        <v>1938</v>
      </c>
      <c r="C907" s="584" t="s">
        <v>430</v>
      </c>
      <c r="D907" s="584" t="s">
        <v>1723</v>
      </c>
      <c r="E907" s="584" t="s">
        <v>100</v>
      </c>
      <c r="F907" s="584" t="s">
        <v>436</v>
      </c>
      <c r="G907" s="585">
        <v>-400</v>
      </c>
      <c r="H907" s="584" t="s">
        <v>1641</v>
      </c>
      <c r="I907" s="584" t="s">
        <v>100</v>
      </c>
      <c r="J907" s="585">
        <v>0</v>
      </c>
      <c r="K907" s="595">
        <v>44950</v>
      </c>
      <c r="L907" s="596">
        <v>1846257</v>
      </c>
      <c r="M907" s="584" t="s">
        <v>100</v>
      </c>
      <c r="N907" s="584" t="s">
        <v>100</v>
      </c>
      <c r="O907" s="584" t="s">
        <v>1646</v>
      </c>
      <c r="P907" s="586" t="s">
        <v>100</v>
      </c>
    </row>
    <row r="908" spans="1:16" ht="15">
      <c r="A908" s="591">
        <v>44950</v>
      </c>
      <c r="B908" s="580" t="s">
        <v>1939</v>
      </c>
      <c r="C908" s="580" t="s">
        <v>430</v>
      </c>
      <c r="D908" s="580" t="s">
        <v>1723</v>
      </c>
      <c r="E908" s="580" t="s">
        <v>100</v>
      </c>
      <c r="F908" s="580" t="s">
        <v>436</v>
      </c>
      <c r="G908" s="581">
        <v>-400</v>
      </c>
      <c r="H908" s="580" t="s">
        <v>1641</v>
      </c>
      <c r="I908" s="580" t="s">
        <v>100</v>
      </c>
      <c r="J908" s="581">
        <v>0</v>
      </c>
      <c r="K908" s="592">
        <v>44950</v>
      </c>
      <c r="L908" s="593">
        <v>1846255</v>
      </c>
      <c r="M908" s="580" t="s">
        <v>100</v>
      </c>
      <c r="N908" s="580" t="s">
        <v>100</v>
      </c>
      <c r="O908" s="580" t="s">
        <v>1646</v>
      </c>
      <c r="P908" s="582" t="s">
        <v>100</v>
      </c>
    </row>
    <row r="909" spans="1:16" ht="15">
      <c r="A909" s="594">
        <v>44950</v>
      </c>
      <c r="B909" s="584" t="s">
        <v>1940</v>
      </c>
      <c r="C909" s="584" t="s">
        <v>430</v>
      </c>
      <c r="D909" s="584" t="s">
        <v>1723</v>
      </c>
      <c r="E909" s="584" t="s">
        <v>100</v>
      </c>
      <c r="F909" s="584" t="s">
        <v>436</v>
      </c>
      <c r="G909" s="585">
        <v>-400</v>
      </c>
      <c r="H909" s="584" t="s">
        <v>1641</v>
      </c>
      <c r="I909" s="584" t="s">
        <v>100</v>
      </c>
      <c r="J909" s="585">
        <v>0</v>
      </c>
      <c r="K909" s="595">
        <v>44950</v>
      </c>
      <c r="L909" s="596">
        <v>1846253</v>
      </c>
      <c r="M909" s="584" t="s">
        <v>100</v>
      </c>
      <c r="N909" s="584" t="s">
        <v>100</v>
      </c>
      <c r="O909" s="584" t="s">
        <v>1646</v>
      </c>
      <c r="P909" s="586" t="s">
        <v>100</v>
      </c>
    </row>
    <row r="910" spans="1:16" ht="15">
      <c r="A910" s="591">
        <v>44950</v>
      </c>
      <c r="B910" s="580" t="s">
        <v>1941</v>
      </c>
      <c r="C910" s="580" t="s">
        <v>430</v>
      </c>
      <c r="D910" s="580" t="s">
        <v>1723</v>
      </c>
      <c r="E910" s="580" t="s">
        <v>100</v>
      </c>
      <c r="F910" s="580" t="s">
        <v>436</v>
      </c>
      <c r="G910" s="581">
        <v>-400</v>
      </c>
      <c r="H910" s="580" t="s">
        <v>1641</v>
      </c>
      <c r="I910" s="580" t="s">
        <v>100</v>
      </c>
      <c r="J910" s="581">
        <v>0</v>
      </c>
      <c r="K910" s="592">
        <v>44950</v>
      </c>
      <c r="L910" s="593">
        <v>1846251</v>
      </c>
      <c r="M910" s="580" t="s">
        <v>100</v>
      </c>
      <c r="N910" s="580" t="s">
        <v>100</v>
      </c>
      <c r="O910" s="580" t="s">
        <v>1646</v>
      </c>
      <c r="P910" s="582" t="s">
        <v>100</v>
      </c>
    </row>
    <row r="911" spans="1:16" ht="15">
      <c r="A911" s="594">
        <v>44950</v>
      </c>
      <c r="B911" s="584" t="s">
        <v>1942</v>
      </c>
      <c r="C911" s="584" t="s">
        <v>430</v>
      </c>
      <c r="D911" s="584" t="s">
        <v>1723</v>
      </c>
      <c r="E911" s="584" t="s">
        <v>100</v>
      </c>
      <c r="F911" s="584" t="s">
        <v>436</v>
      </c>
      <c r="G911" s="585">
        <v>-400</v>
      </c>
      <c r="H911" s="584" t="s">
        <v>1641</v>
      </c>
      <c r="I911" s="584" t="s">
        <v>100</v>
      </c>
      <c r="J911" s="585">
        <v>0</v>
      </c>
      <c r="K911" s="595">
        <v>44950</v>
      </c>
      <c r="L911" s="596">
        <v>1846249</v>
      </c>
      <c r="M911" s="584" t="s">
        <v>100</v>
      </c>
      <c r="N911" s="584" t="s">
        <v>100</v>
      </c>
      <c r="O911" s="584" t="s">
        <v>1646</v>
      </c>
      <c r="P911" s="586" t="s">
        <v>100</v>
      </c>
    </row>
    <row r="912" spans="1:16" ht="15">
      <c r="A912" s="591">
        <v>44950</v>
      </c>
      <c r="B912" s="580" t="s">
        <v>1943</v>
      </c>
      <c r="C912" s="580" t="s">
        <v>430</v>
      </c>
      <c r="D912" s="580" t="s">
        <v>1723</v>
      </c>
      <c r="E912" s="580" t="s">
        <v>100</v>
      </c>
      <c r="F912" s="580" t="s">
        <v>436</v>
      </c>
      <c r="G912" s="581">
        <v>-400</v>
      </c>
      <c r="H912" s="580" t="s">
        <v>1641</v>
      </c>
      <c r="I912" s="580" t="s">
        <v>100</v>
      </c>
      <c r="J912" s="581">
        <v>0</v>
      </c>
      <c r="K912" s="592">
        <v>44950</v>
      </c>
      <c r="L912" s="593">
        <v>1846247</v>
      </c>
      <c r="M912" s="580" t="s">
        <v>100</v>
      </c>
      <c r="N912" s="580" t="s">
        <v>100</v>
      </c>
      <c r="O912" s="580" t="s">
        <v>1646</v>
      </c>
      <c r="P912" s="582" t="s">
        <v>100</v>
      </c>
    </row>
    <row r="913" spans="1:16" ht="15">
      <c r="A913" s="594">
        <v>44950</v>
      </c>
      <c r="B913" s="584" t="s">
        <v>1944</v>
      </c>
      <c r="C913" s="584" t="s">
        <v>430</v>
      </c>
      <c r="D913" s="584" t="s">
        <v>1723</v>
      </c>
      <c r="E913" s="584" t="s">
        <v>100</v>
      </c>
      <c r="F913" s="584" t="s">
        <v>436</v>
      </c>
      <c r="G913" s="585">
        <v>-400</v>
      </c>
      <c r="H913" s="584" t="s">
        <v>1641</v>
      </c>
      <c r="I913" s="584" t="s">
        <v>100</v>
      </c>
      <c r="J913" s="585">
        <v>0</v>
      </c>
      <c r="K913" s="595">
        <v>44950</v>
      </c>
      <c r="L913" s="596">
        <v>1846245</v>
      </c>
      <c r="M913" s="584" t="s">
        <v>100</v>
      </c>
      <c r="N913" s="584" t="s">
        <v>100</v>
      </c>
      <c r="O913" s="584" t="s">
        <v>1646</v>
      </c>
      <c r="P913" s="586" t="s">
        <v>100</v>
      </c>
    </row>
    <row r="914" spans="1:16" ht="15">
      <c r="A914" s="591">
        <v>44950</v>
      </c>
      <c r="B914" s="580" t="s">
        <v>1945</v>
      </c>
      <c r="C914" s="580" t="s">
        <v>430</v>
      </c>
      <c r="D914" s="580" t="s">
        <v>1723</v>
      </c>
      <c r="E914" s="580" t="s">
        <v>100</v>
      </c>
      <c r="F914" s="580" t="s">
        <v>436</v>
      </c>
      <c r="G914" s="581">
        <v>-400</v>
      </c>
      <c r="H914" s="580" t="s">
        <v>1641</v>
      </c>
      <c r="I914" s="580" t="s">
        <v>100</v>
      </c>
      <c r="J914" s="581">
        <v>0</v>
      </c>
      <c r="K914" s="592">
        <v>44950</v>
      </c>
      <c r="L914" s="593">
        <v>1846243</v>
      </c>
      <c r="M914" s="580" t="s">
        <v>100</v>
      </c>
      <c r="N914" s="580" t="s">
        <v>100</v>
      </c>
      <c r="O914" s="580" t="s">
        <v>1646</v>
      </c>
      <c r="P914" s="582" t="s">
        <v>100</v>
      </c>
    </row>
    <row r="915" spans="1:16" ht="15">
      <c r="A915" s="594">
        <v>44950</v>
      </c>
      <c r="B915" s="584" t="s">
        <v>1946</v>
      </c>
      <c r="C915" s="584" t="s">
        <v>430</v>
      </c>
      <c r="D915" s="584" t="s">
        <v>1723</v>
      </c>
      <c r="E915" s="584" t="s">
        <v>100</v>
      </c>
      <c r="F915" s="584" t="s">
        <v>436</v>
      </c>
      <c r="G915" s="585">
        <v>-400</v>
      </c>
      <c r="H915" s="584" t="s">
        <v>1641</v>
      </c>
      <c r="I915" s="584" t="s">
        <v>100</v>
      </c>
      <c r="J915" s="585">
        <v>0</v>
      </c>
      <c r="K915" s="595">
        <v>44950</v>
      </c>
      <c r="L915" s="596">
        <v>1846241</v>
      </c>
      <c r="M915" s="584" t="s">
        <v>100</v>
      </c>
      <c r="N915" s="584" t="s">
        <v>100</v>
      </c>
      <c r="O915" s="584" t="s">
        <v>1646</v>
      </c>
      <c r="P915" s="586" t="s">
        <v>100</v>
      </c>
    </row>
    <row r="916" spans="1:16" ht="15">
      <c r="A916" s="591">
        <v>44950</v>
      </c>
      <c r="B916" s="580" t="s">
        <v>1947</v>
      </c>
      <c r="C916" s="580" t="s">
        <v>430</v>
      </c>
      <c r="D916" s="580" t="s">
        <v>1723</v>
      </c>
      <c r="E916" s="580" t="s">
        <v>100</v>
      </c>
      <c r="F916" s="580" t="s">
        <v>436</v>
      </c>
      <c r="G916" s="581">
        <v>-400</v>
      </c>
      <c r="H916" s="580" t="s">
        <v>1641</v>
      </c>
      <c r="I916" s="580" t="s">
        <v>100</v>
      </c>
      <c r="J916" s="581">
        <v>0</v>
      </c>
      <c r="K916" s="592">
        <v>44950</v>
      </c>
      <c r="L916" s="593">
        <v>1846239</v>
      </c>
      <c r="M916" s="580" t="s">
        <v>100</v>
      </c>
      <c r="N916" s="580" t="s">
        <v>100</v>
      </c>
      <c r="O916" s="580" t="s">
        <v>1646</v>
      </c>
      <c r="P916" s="582" t="s">
        <v>100</v>
      </c>
    </row>
    <row r="917" spans="1:16" ht="15">
      <c r="A917" s="594">
        <v>44950</v>
      </c>
      <c r="B917" s="584" t="s">
        <v>1948</v>
      </c>
      <c r="C917" s="584" t="s">
        <v>430</v>
      </c>
      <c r="D917" s="584" t="s">
        <v>1723</v>
      </c>
      <c r="E917" s="584" t="s">
        <v>100</v>
      </c>
      <c r="F917" s="584" t="s">
        <v>436</v>
      </c>
      <c r="G917" s="585">
        <v>-400</v>
      </c>
      <c r="H917" s="584" t="s">
        <v>1641</v>
      </c>
      <c r="I917" s="584" t="s">
        <v>100</v>
      </c>
      <c r="J917" s="585">
        <v>0</v>
      </c>
      <c r="K917" s="595">
        <v>44950</v>
      </c>
      <c r="L917" s="596">
        <v>1846237</v>
      </c>
      <c r="M917" s="584" t="s">
        <v>100</v>
      </c>
      <c r="N917" s="584" t="s">
        <v>100</v>
      </c>
      <c r="O917" s="584" t="s">
        <v>1646</v>
      </c>
      <c r="P917" s="586" t="s">
        <v>100</v>
      </c>
    </row>
    <row r="918" spans="1:16" ht="15">
      <c r="A918" s="591">
        <v>44950</v>
      </c>
      <c r="B918" s="580" t="s">
        <v>1949</v>
      </c>
      <c r="C918" s="580" t="s">
        <v>430</v>
      </c>
      <c r="D918" s="580" t="s">
        <v>1723</v>
      </c>
      <c r="E918" s="580" t="s">
        <v>100</v>
      </c>
      <c r="F918" s="580" t="s">
        <v>436</v>
      </c>
      <c r="G918" s="581">
        <v>-400</v>
      </c>
      <c r="H918" s="580" t="s">
        <v>1641</v>
      </c>
      <c r="I918" s="580" t="s">
        <v>100</v>
      </c>
      <c r="J918" s="581">
        <v>0</v>
      </c>
      <c r="K918" s="592">
        <v>44950</v>
      </c>
      <c r="L918" s="593">
        <v>1846235</v>
      </c>
      <c r="M918" s="580" t="s">
        <v>100</v>
      </c>
      <c r="N918" s="580" t="s">
        <v>100</v>
      </c>
      <c r="O918" s="580" t="s">
        <v>1646</v>
      </c>
      <c r="P918" s="582" t="s">
        <v>100</v>
      </c>
    </row>
    <row r="919" spans="1:16" ht="15">
      <c r="A919" s="594">
        <v>44950</v>
      </c>
      <c r="B919" s="584" t="s">
        <v>1950</v>
      </c>
      <c r="C919" s="584" t="s">
        <v>430</v>
      </c>
      <c r="D919" s="584" t="s">
        <v>1723</v>
      </c>
      <c r="E919" s="584" t="s">
        <v>100</v>
      </c>
      <c r="F919" s="584" t="s">
        <v>436</v>
      </c>
      <c r="G919" s="585">
        <v>-400</v>
      </c>
      <c r="H919" s="584" t="s">
        <v>1641</v>
      </c>
      <c r="I919" s="584" t="s">
        <v>100</v>
      </c>
      <c r="J919" s="585">
        <v>0</v>
      </c>
      <c r="K919" s="595">
        <v>44950</v>
      </c>
      <c r="L919" s="596">
        <v>1846233</v>
      </c>
      <c r="M919" s="584" t="s">
        <v>100</v>
      </c>
      <c r="N919" s="584" t="s">
        <v>100</v>
      </c>
      <c r="O919" s="584" t="s">
        <v>1646</v>
      </c>
      <c r="P919" s="586" t="s">
        <v>100</v>
      </c>
    </row>
    <row r="920" spans="1:16" ht="15">
      <c r="A920" s="591">
        <v>44950</v>
      </c>
      <c r="B920" s="580" t="s">
        <v>1951</v>
      </c>
      <c r="C920" s="580" t="s">
        <v>430</v>
      </c>
      <c r="D920" s="580" t="s">
        <v>1723</v>
      </c>
      <c r="E920" s="580" t="s">
        <v>100</v>
      </c>
      <c r="F920" s="580" t="s">
        <v>436</v>
      </c>
      <c r="G920" s="581">
        <v>-400</v>
      </c>
      <c r="H920" s="580" t="s">
        <v>1641</v>
      </c>
      <c r="I920" s="580" t="s">
        <v>100</v>
      </c>
      <c r="J920" s="581">
        <v>0</v>
      </c>
      <c r="K920" s="592">
        <v>44950</v>
      </c>
      <c r="L920" s="593">
        <v>1846231</v>
      </c>
      <c r="M920" s="580" t="s">
        <v>100</v>
      </c>
      <c r="N920" s="580" t="s">
        <v>100</v>
      </c>
      <c r="O920" s="580" t="s">
        <v>1646</v>
      </c>
      <c r="P920" s="582" t="s">
        <v>100</v>
      </c>
    </row>
    <row r="921" spans="1:16" ht="15">
      <c r="A921" s="594">
        <v>44950</v>
      </c>
      <c r="B921" s="584" t="s">
        <v>1952</v>
      </c>
      <c r="C921" s="584" t="s">
        <v>430</v>
      </c>
      <c r="D921" s="584" t="s">
        <v>1723</v>
      </c>
      <c r="E921" s="584" t="s">
        <v>100</v>
      </c>
      <c r="F921" s="584" t="s">
        <v>436</v>
      </c>
      <c r="G921" s="585">
        <v>-400</v>
      </c>
      <c r="H921" s="584" t="s">
        <v>1641</v>
      </c>
      <c r="I921" s="584" t="s">
        <v>100</v>
      </c>
      <c r="J921" s="585">
        <v>0</v>
      </c>
      <c r="K921" s="595">
        <v>44950</v>
      </c>
      <c r="L921" s="596">
        <v>1846229</v>
      </c>
      <c r="M921" s="584" t="s">
        <v>100</v>
      </c>
      <c r="N921" s="584" t="s">
        <v>100</v>
      </c>
      <c r="O921" s="584" t="s">
        <v>1646</v>
      </c>
      <c r="P921" s="586" t="s">
        <v>100</v>
      </c>
    </row>
    <row r="922" spans="1:16" ht="15">
      <c r="A922" s="591">
        <v>44950</v>
      </c>
      <c r="B922" s="580" t="s">
        <v>1953</v>
      </c>
      <c r="C922" s="580" t="s">
        <v>430</v>
      </c>
      <c r="D922" s="580" t="s">
        <v>1723</v>
      </c>
      <c r="E922" s="580" t="s">
        <v>100</v>
      </c>
      <c r="F922" s="580" t="s">
        <v>436</v>
      </c>
      <c r="G922" s="581">
        <v>-400</v>
      </c>
      <c r="H922" s="580" t="s">
        <v>1641</v>
      </c>
      <c r="I922" s="580" t="s">
        <v>100</v>
      </c>
      <c r="J922" s="581">
        <v>0</v>
      </c>
      <c r="K922" s="592">
        <v>44950</v>
      </c>
      <c r="L922" s="593">
        <v>1846227</v>
      </c>
      <c r="M922" s="580" t="s">
        <v>100</v>
      </c>
      <c r="N922" s="580" t="s">
        <v>100</v>
      </c>
      <c r="O922" s="580" t="s">
        <v>1646</v>
      </c>
      <c r="P922" s="582" t="s">
        <v>100</v>
      </c>
    </row>
    <row r="923" spans="1:16" ht="15">
      <c r="A923" s="594">
        <v>44950</v>
      </c>
      <c r="B923" s="584" t="s">
        <v>1954</v>
      </c>
      <c r="C923" s="584" t="s">
        <v>430</v>
      </c>
      <c r="D923" s="584" t="s">
        <v>1723</v>
      </c>
      <c r="E923" s="584" t="s">
        <v>100</v>
      </c>
      <c r="F923" s="584" t="s">
        <v>436</v>
      </c>
      <c r="G923" s="585">
        <v>-400</v>
      </c>
      <c r="H923" s="584" t="s">
        <v>1641</v>
      </c>
      <c r="I923" s="584" t="s">
        <v>100</v>
      </c>
      <c r="J923" s="585">
        <v>0</v>
      </c>
      <c r="K923" s="595">
        <v>44950</v>
      </c>
      <c r="L923" s="596">
        <v>1846225</v>
      </c>
      <c r="M923" s="584" t="s">
        <v>100</v>
      </c>
      <c r="N923" s="584" t="s">
        <v>100</v>
      </c>
      <c r="O923" s="584" t="s">
        <v>1646</v>
      </c>
      <c r="P923" s="586" t="s">
        <v>100</v>
      </c>
    </row>
    <row r="924" spans="1:16" ht="15">
      <c r="A924" s="591">
        <v>44950</v>
      </c>
      <c r="B924" s="580" t="s">
        <v>1955</v>
      </c>
      <c r="C924" s="580" t="s">
        <v>430</v>
      </c>
      <c r="D924" s="580" t="s">
        <v>1723</v>
      </c>
      <c r="E924" s="580" t="s">
        <v>100</v>
      </c>
      <c r="F924" s="580" t="s">
        <v>436</v>
      </c>
      <c r="G924" s="581">
        <v>-400</v>
      </c>
      <c r="H924" s="580" t="s">
        <v>1641</v>
      </c>
      <c r="I924" s="580" t="s">
        <v>100</v>
      </c>
      <c r="J924" s="581">
        <v>0</v>
      </c>
      <c r="K924" s="592">
        <v>44950</v>
      </c>
      <c r="L924" s="593">
        <v>1846223</v>
      </c>
      <c r="M924" s="580" t="s">
        <v>100</v>
      </c>
      <c r="N924" s="580" t="s">
        <v>100</v>
      </c>
      <c r="O924" s="580" t="s">
        <v>1646</v>
      </c>
      <c r="P924" s="582" t="s">
        <v>100</v>
      </c>
    </row>
    <row r="925" spans="1:16" ht="15">
      <c r="A925" s="594">
        <v>44950</v>
      </c>
      <c r="B925" s="584" t="s">
        <v>1956</v>
      </c>
      <c r="C925" s="584" t="s">
        <v>430</v>
      </c>
      <c r="D925" s="584" t="s">
        <v>1723</v>
      </c>
      <c r="E925" s="584" t="s">
        <v>100</v>
      </c>
      <c r="F925" s="584" t="s">
        <v>436</v>
      </c>
      <c r="G925" s="585">
        <v>-400</v>
      </c>
      <c r="H925" s="584" t="s">
        <v>1641</v>
      </c>
      <c r="I925" s="584" t="s">
        <v>100</v>
      </c>
      <c r="J925" s="585">
        <v>0</v>
      </c>
      <c r="K925" s="595">
        <v>44950</v>
      </c>
      <c r="L925" s="596">
        <v>1846221</v>
      </c>
      <c r="M925" s="584" t="s">
        <v>100</v>
      </c>
      <c r="N925" s="584" t="s">
        <v>100</v>
      </c>
      <c r="O925" s="584" t="s">
        <v>1646</v>
      </c>
      <c r="P925" s="586" t="s">
        <v>100</v>
      </c>
    </row>
    <row r="926" spans="1:16" ht="15">
      <c r="A926" s="591">
        <v>44950</v>
      </c>
      <c r="B926" s="580" t="s">
        <v>1957</v>
      </c>
      <c r="C926" s="580" t="s">
        <v>430</v>
      </c>
      <c r="D926" s="580" t="s">
        <v>1723</v>
      </c>
      <c r="E926" s="580" t="s">
        <v>100</v>
      </c>
      <c r="F926" s="580" t="s">
        <v>436</v>
      </c>
      <c r="G926" s="581">
        <v>-400</v>
      </c>
      <c r="H926" s="580" t="s">
        <v>1641</v>
      </c>
      <c r="I926" s="580" t="s">
        <v>100</v>
      </c>
      <c r="J926" s="581">
        <v>0</v>
      </c>
      <c r="K926" s="592">
        <v>44950</v>
      </c>
      <c r="L926" s="593">
        <v>1846219</v>
      </c>
      <c r="M926" s="580" t="s">
        <v>100</v>
      </c>
      <c r="N926" s="580" t="s">
        <v>100</v>
      </c>
      <c r="O926" s="580" t="s">
        <v>1646</v>
      </c>
      <c r="P926" s="582" t="s">
        <v>100</v>
      </c>
    </row>
    <row r="927" spans="1:16" ht="15">
      <c r="A927" s="594">
        <v>44950</v>
      </c>
      <c r="B927" s="584" t="s">
        <v>1958</v>
      </c>
      <c r="C927" s="584" t="s">
        <v>430</v>
      </c>
      <c r="D927" s="584" t="s">
        <v>1723</v>
      </c>
      <c r="E927" s="584" t="s">
        <v>100</v>
      </c>
      <c r="F927" s="584" t="s">
        <v>436</v>
      </c>
      <c r="G927" s="585">
        <v>-400</v>
      </c>
      <c r="H927" s="584" t="s">
        <v>1641</v>
      </c>
      <c r="I927" s="584" t="s">
        <v>100</v>
      </c>
      <c r="J927" s="585">
        <v>0</v>
      </c>
      <c r="K927" s="595">
        <v>44950</v>
      </c>
      <c r="L927" s="596">
        <v>1846217</v>
      </c>
      <c r="M927" s="584" t="s">
        <v>100</v>
      </c>
      <c r="N927" s="584" t="s">
        <v>100</v>
      </c>
      <c r="O927" s="584" t="s">
        <v>1646</v>
      </c>
      <c r="P927" s="586" t="s">
        <v>100</v>
      </c>
    </row>
    <row r="928" spans="1:16" ht="15">
      <c r="A928" s="591">
        <v>44950</v>
      </c>
      <c r="B928" s="580" t="s">
        <v>1959</v>
      </c>
      <c r="C928" s="580" t="s">
        <v>430</v>
      </c>
      <c r="D928" s="580" t="s">
        <v>1723</v>
      </c>
      <c r="E928" s="580" t="s">
        <v>100</v>
      </c>
      <c r="F928" s="580" t="s">
        <v>436</v>
      </c>
      <c r="G928" s="581">
        <v>-400</v>
      </c>
      <c r="H928" s="580" t="s">
        <v>1641</v>
      </c>
      <c r="I928" s="580" t="s">
        <v>100</v>
      </c>
      <c r="J928" s="581">
        <v>0</v>
      </c>
      <c r="K928" s="592">
        <v>44950</v>
      </c>
      <c r="L928" s="593">
        <v>1846215</v>
      </c>
      <c r="M928" s="580" t="s">
        <v>100</v>
      </c>
      <c r="N928" s="580" t="s">
        <v>100</v>
      </c>
      <c r="O928" s="580" t="s">
        <v>1646</v>
      </c>
      <c r="P928" s="582" t="s">
        <v>100</v>
      </c>
    </row>
    <row r="929" spans="1:16" ht="15">
      <c r="A929" s="594">
        <v>44950</v>
      </c>
      <c r="B929" s="584" t="s">
        <v>1960</v>
      </c>
      <c r="C929" s="584" t="s">
        <v>430</v>
      </c>
      <c r="D929" s="584" t="s">
        <v>1723</v>
      </c>
      <c r="E929" s="584" t="s">
        <v>100</v>
      </c>
      <c r="F929" s="584" t="s">
        <v>436</v>
      </c>
      <c r="G929" s="585">
        <v>-400</v>
      </c>
      <c r="H929" s="584" t="s">
        <v>1641</v>
      </c>
      <c r="I929" s="584" t="s">
        <v>100</v>
      </c>
      <c r="J929" s="585">
        <v>0</v>
      </c>
      <c r="K929" s="595">
        <v>44950</v>
      </c>
      <c r="L929" s="596">
        <v>1846213</v>
      </c>
      <c r="M929" s="584" t="s">
        <v>100</v>
      </c>
      <c r="N929" s="584" t="s">
        <v>100</v>
      </c>
      <c r="O929" s="584" t="s">
        <v>1646</v>
      </c>
      <c r="P929" s="586" t="s">
        <v>100</v>
      </c>
    </row>
    <row r="930" spans="1:16" ht="15">
      <c r="A930" s="591">
        <v>44950</v>
      </c>
      <c r="B930" s="580" t="s">
        <v>1961</v>
      </c>
      <c r="C930" s="580" t="s">
        <v>430</v>
      </c>
      <c r="D930" s="580" t="s">
        <v>1723</v>
      </c>
      <c r="E930" s="580" t="s">
        <v>100</v>
      </c>
      <c r="F930" s="580" t="s">
        <v>436</v>
      </c>
      <c r="G930" s="581">
        <v>-400</v>
      </c>
      <c r="H930" s="580" t="s">
        <v>1641</v>
      </c>
      <c r="I930" s="580" t="s">
        <v>100</v>
      </c>
      <c r="J930" s="581">
        <v>0</v>
      </c>
      <c r="K930" s="592">
        <v>44950</v>
      </c>
      <c r="L930" s="593">
        <v>1846211</v>
      </c>
      <c r="M930" s="580" t="s">
        <v>100</v>
      </c>
      <c r="N930" s="580" t="s">
        <v>100</v>
      </c>
      <c r="O930" s="580" t="s">
        <v>1646</v>
      </c>
      <c r="P930" s="582" t="s">
        <v>100</v>
      </c>
    </row>
    <row r="931" spans="1:16" ht="15">
      <c r="A931" s="594">
        <v>44950</v>
      </c>
      <c r="B931" s="584" t="s">
        <v>1962</v>
      </c>
      <c r="C931" s="584" t="s">
        <v>430</v>
      </c>
      <c r="D931" s="584" t="s">
        <v>1723</v>
      </c>
      <c r="E931" s="584" t="s">
        <v>100</v>
      </c>
      <c r="F931" s="584" t="s">
        <v>436</v>
      </c>
      <c r="G931" s="585">
        <v>-400</v>
      </c>
      <c r="H931" s="584" t="s">
        <v>1641</v>
      </c>
      <c r="I931" s="584" t="s">
        <v>100</v>
      </c>
      <c r="J931" s="585">
        <v>0</v>
      </c>
      <c r="K931" s="595">
        <v>44950</v>
      </c>
      <c r="L931" s="596">
        <v>1846209</v>
      </c>
      <c r="M931" s="584" t="s">
        <v>100</v>
      </c>
      <c r="N931" s="584" t="s">
        <v>100</v>
      </c>
      <c r="O931" s="584" t="s">
        <v>1646</v>
      </c>
      <c r="P931" s="586" t="s">
        <v>100</v>
      </c>
    </row>
    <row r="932" spans="1:16" ht="15">
      <c r="A932" s="591">
        <v>44950</v>
      </c>
      <c r="B932" s="580" t="s">
        <v>1963</v>
      </c>
      <c r="C932" s="580" t="s">
        <v>430</v>
      </c>
      <c r="D932" s="580" t="s">
        <v>1723</v>
      </c>
      <c r="E932" s="580" t="s">
        <v>100</v>
      </c>
      <c r="F932" s="580" t="s">
        <v>436</v>
      </c>
      <c r="G932" s="581">
        <v>-400</v>
      </c>
      <c r="H932" s="580" t="s">
        <v>1641</v>
      </c>
      <c r="I932" s="580" t="s">
        <v>100</v>
      </c>
      <c r="J932" s="581">
        <v>0</v>
      </c>
      <c r="K932" s="592">
        <v>44950</v>
      </c>
      <c r="L932" s="593">
        <v>1846207</v>
      </c>
      <c r="M932" s="580" t="s">
        <v>100</v>
      </c>
      <c r="N932" s="580" t="s">
        <v>100</v>
      </c>
      <c r="O932" s="580" t="s">
        <v>1646</v>
      </c>
      <c r="P932" s="582" t="s">
        <v>100</v>
      </c>
    </row>
    <row r="933" spans="1:16" ht="15">
      <c r="A933" s="594">
        <v>44950</v>
      </c>
      <c r="B933" s="584" t="s">
        <v>1964</v>
      </c>
      <c r="C933" s="584" t="s">
        <v>430</v>
      </c>
      <c r="D933" s="584" t="s">
        <v>1723</v>
      </c>
      <c r="E933" s="584" t="s">
        <v>100</v>
      </c>
      <c r="F933" s="584" t="s">
        <v>436</v>
      </c>
      <c r="G933" s="585">
        <v>-400</v>
      </c>
      <c r="H933" s="584" t="s">
        <v>1641</v>
      </c>
      <c r="I933" s="584" t="s">
        <v>100</v>
      </c>
      <c r="J933" s="585">
        <v>0</v>
      </c>
      <c r="K933" s="595">
        <v>44950</v>
      </c>
      <c r="L933" s="596">
        <v>1846205</v>
      </c>
      <c r="M933" s="584" t="s">
        <v>100</v>
      </c>
      <c r="N933" s="584" t="s">
        <v>100</v>
      </c>
      <c r="O933" s="584" t="s">
        <v>1646</v>
      </c>
      <c r="P933" s="586" t="s">
        <v>100</v>
      </c>
    </row>
    <row r="934" spans="1:16" ht="15">
      <c r="A934" s="591">
        <v>44950</v>
      </c>
      <c r="B934" s="580" t="s">
        <v>1965</v>
      </c>
      <c r="C934" s="580" t="s">
        <v>430</v>
      </c>
      <c r="D934" s="580" t="s">
        <v>1723</v>
      </c>
      <c r="E934" s="580" t="s">
        <v>100</v>
      </c>
      <c r="F934" s="580" t="s">
        <v>436</v>
      </c>
      <c r="G934" s="581">
        <v>-400</v>
      </c>
      <c r="H934" s="580" t="s">
        <v>1641</v>
      </c>
      <c r="I934" s="580" t="s">
        <v>100</v>
      </c>
      <c r="J934" s="581">
        <v>0</v>
      </c>
      <c r="K934" s="592">
        <v>44950</v>
      </c>
      <c r="L934" s="593">
        <v>1846203</v>
      </c>
      <c r="M934" s="580" t="s">
        <v>100</v>
      </c>
      <c r="N934" s="580" t="s">
        <v>100</v>
      </c>
      <c r="O934" s="580" t="s">
        <v>1646</v>
      </c>
      <c r="P934" s="582" t="s">
        <v>100</v>
      </c>
    </row>
    <row r="935" spans="1:16" ht="15">
      <c r="A935" s="594">
        <v>44950</v>
      </c>
      <c r="B935" s="584" t="s">
        <v>1966</v>
      </c>
      <c r="C935" s="584" t="s">
        <v>430</v>
      </c>
      <c r="D935" s="584" t="s">
        <v>1723</v>
      </c>
      <c r="E935" s="584" t="s">
        <v>100</v>
      </c>
      <c r="F935" s="584" t="s">
        <v>436</v>
      </c>
      <c r="G935" s="585">
        <v>-400</v>
      </c>
      <c r="H935" s="584" t="s">
        <v>1641</v>
      </c>
      <c r="I935" s="584" t="s">
        <v>100</v>
      </c>
      <c r="J935" s="585">
        <v>0</v>
      </c>
      <c r="K935" s="595">
        <v>44950</v>
      </c>
      <c r="L935" s="596">
        <v>1846201</v>
      </c>
      <c r="M935" s="584" t="s">
        <v>100</v>
      </c>
      <c r="N935" s="584" t="s">
        <v>100</v>
      </c>
      <c r="O935" s="584" t="s">
        <v>1646</v>
      </c>
      <c r="P935" s="586" t="s">
        <v>100</v>
      </c>
    </row>
    <row r="936" spans="1:16" ht="15">
      <c r="A936" s="591">
        <v>44950</v>
      </c>
      <c r="B936" s="580" t="s">
        <v>1967</v>
      </c>
      <c r="C936" s="580" t="s">
        <v>430</v>
      </c>
      <c r="D936" s="580" t="s">
        <v>1723</v>
      </c>
      <c r="E936" s="580" t="s">
        <v>100</v>
      </c>
      <c r="F936" s="580" t="s">
        <v>436</v>
      </c>
      <c r="G936" s="581">
        <v>-400</v>
      </c>
      <c r="H936" s="580" t="s">
        <v>1641</v>
      </c>
      <c r="I936" s="580" t="s">
        <v>100</v>
      </c>
      <c r="J936" s="581">
        <v>0</v>
      </c>
      <c r="K936" s="592">
        <v>44950</v>
      </c>
      <c r="L936" s="593">
        <v>1846199</v>
      </c>
      <c r="M936" s="580" t="s">
        <v>100</v>
      </c>
      <c r="N936" s="580" t="s">
        <v>100</v>
      </c>
      <c r="O936" s="580" t="s">
        <v>1646</v>
      </c>
      <c r="P936" s="582" t="s">
        <v>100</v>
      </c>
    </row>
    <row r="937" spans="1:16" ht="15">
      <c r="A937" s="594">
        <v>44950</v>
      </c>
      <c r="B937" s="584" t="s">
        <v>1968</v>
      </c>
      <c r="C937" s="584" t="s">
        <v>430</v>
      </c>
      <c r="D937" s="584" t="s">
        <v>1723</v>
      </c>
      <c r="E937" s="584" t="s">
        <v>100</v>
      </c>
      <c r="F937" s="584" t="s">
        <v>436</v>
      </c>
      <c r="G937" s="585">
        <v>-400</v>
      </c>
      <c r="H937" s="584" t="s">
        <v>1641</v>
      </c>
      <c r="I937" s="584" t="s">
        <v>100</v>
      </c>
      <c r="J937" s="585">
        <v>0</v>
      </c>
      <c r="K937" s="595">
        <v>44950</v>
      </c>
      <c r="L937" s="596">
        <v>1846197</v>
      </c>
      <c r="M937" s="584" t="s">
        <v>100</v>
      </c>
      <c r="N937" s="584" t="s">
        <v>100</v>
      </c>
      <c r="O937" s="584" t="s">
        <v>1646</v>
      </c>
      <c r="P937" s="586" t="s">
        <v>100</v>
      </c>
    </row>
    <row r="938" spans="1:16" ht="15">
      <c r="A938" s="591">
        <v>44950</v>
      </c>
      <c r="B938" s="580" t="s">
        <v>1969</v>
      </c>
      <c r="C938" s="580" t="s">
        <v>430</v>
      </c>
      <c r="D938" s="580" t="s">
        <v>1723</v>
      </c>
      <c r="E938" s="580" t="s">
        <v>100</v>
      </c>
      <c r="F938" s="580" t="s">
        <v>436</v>
      </c>
      <c r="G938" s="581">
        <v>-400</v>
      </c>
      <c r="H938" s="580" t="s">
        <v>1641</v>
      </c>
      <c r="I938" s="580" t="s">
        <v>100</v>
      </c>
      <c r="J938" s="581">
        <v>0</v>
      </c>
      <c r="K938" s="592">
        <v>44950</v>
      </c>
      <c r="L938" s="593">
        <v>1846195</v>
      </c>
      <c r="M938" s="580" t="s">
        <v>100</v>
      </c>
      <c r="N938" s="580" t="s">
        <v>100</v>
      </c>
      <c r="O938" s="580" t="s">
        <v>1646</v>
      </c>
      <c r="P938" s="582" t="s">
        <v>100</v>
      </c>
    </row>
    <row r="939" spans="1:16" ht="15">
      <c r="A939" s="594">
        <v>44950</v>
      </c>
      <c r="B939" s="584" t="s">
        <v>1970</v>
      </c>
      <c r="C939" s="584" t="s">
        <v>430</v>
      </c>
      <c r="D939" s="584" t="s">
        <v>1723</v>
      </c>
      <c r="E939" s="584" t="s">
        <v>100</v>
      </c>
      <c r="F939" s="584" t="s">
        <v>436</v>
      </c>
      <c r="G939" s="585">
        <v>-400</v>
      </c>
      <c r="H939" s="584" t="s">
        <v>1641</v>
      </c>
      <c r="I939" s="584" t="s">
        <v>100</v>
      </c>
      <c r="J939" s="585">
        <v>0</v>
      </c>
      <c r="K939" s="595">
        <v>44950</v>
      </c>
      <c r="L939" s="596">
        <v>1846193</v>
      </c>
      <c r="M939" s="584" t="s">
        <v>100</v>
      </c>
      <c r="N939" s="584" t="s">
        <v>100</v>
      </c>
      <c r="O939" s="584" t="s">
        <v>1646</v>
      </c>
      <c r="P939" s="586" t="s">
        <v>100</v>
      </c>
    </row>
    <row r="940" spans="1:16" ht="15">
      <c r="A940" s="591">
        <v>44950</v>
      </c>
      <c r="B940" s="580" t="s">
        <v>1971</v>
      </c>
      <c r="C940" s="580" t="s">
        <v>430</v>
      </c>
      <c r="D940" s="580" t="s">
        <v>1723</v>
      </c>
      <c r="E940" s="580" t="s">
        <v>100</v>
      </c>
      <c r="F940" s="580" t="s">
        <v>436</v>
      </c>
      <c r="G940" s="581">
        <v>-400</v>
      </c>
      <c r="H940" s="580" t="s">
        <v>1641</v>
      </c>
      <c r="I940" s="580" t="s">
        <v>100</v>
      </c>
      <c r="J940" s="581">
        <v>0</v>
      </c>
      <c r="K940" s="592">
        <v>44950</v>
      </c>
      <c r="L940" s="593">
        <v>1846191</v>
      </c>
      <c r="M940" s="580" t="s">
        <v>100</v>
      </c>
      <c r="N940" s="580" t="s">
        <v>100</v>
      </c>
      <c r="O940" s="580" t="s">
        <v>1646</v>
      </c>
      <c r="P940" s="582" t="s">
        <v>100</v>
      </c>
    </row>
    <row r="941" spans="1:16" ht="15">
      <c r="A941" s="594">
        <v>44950</v>
      </c>
      <c r="B941" s="584" t="s">
        <v>1972</v>
      </c>
      <c r="C941" s="584" t="s">
        <v>430</v>
      </c>
      <c r="D941" s="584" t="s">
        <v>1723</v>
      </c>
      <c r="E941" s="584" t="s">
        <v>100</v>
      </c>
      <c r="F941" s="584" t="s">
        <v>436</v>
      </c>
      <c r="G941" s="585">
        <v>-400</v>
      </c>
      <c r="H941" s="584" t="s">
        <v>1641</v>
      </c>
      <c r="I941" s="584" t="s">
        <v>100</v>
      </c>
      <c r="J941" s="585">
        <v>0</v>
      </c>
      <c r="K941" s="595">
        <v>44950</v>
      </c>
      <c r="L941" s="596">
        <v>1846189</v>
      </c>
      <c r="M941" s="584" t="s">
        <v>100</v>
      </c>
      <c r="N941" s="584" t="s">
        <v>100</v>
      </c>
      <c r="O941" s="584" t="s">
        <v>1646</v>
      </c>
      <c r="P941" s="586" t="s">
        <v>100</v>
      </c>
    </row>
    <row r="942" spans="1:16" ht="15">
      <c r="A942" s="591">
        <v>44950</v>
      </c>
      <c r="B942" s="580" t="s">
        <v>1973</v>
      </c>
      <c r="C942" s="580" t="s">
        <v>430</v>
      </c>
      <c r="D942" s="580" t="s">
        <v>1723</v>
      </c>
      <c r="E942" s="580" t="s">
        <v>100</v>
      </c>
      <c r="F942" s="580" t="s">
        <v>436</v>
      </c>
      <c r="G942" s="581">
        <v>-400</v>
      </c>
      <c r="H942" s="580" t="s">
        <v>1641</v>
      </c>
      <c r="I942" s="580" t="s">
        <v>100</v>
      </c>
      <c r="J942" s="581">
        <v>0</v>
      </c>
      <c r="K942" s="592">
        <v>44950</v>
      </c>
      <c r="L942" s="593">
        <v>1846187</v>
      </c>
      <c r="M942" s="580" t="s">
        <v>100</v>
      </c>
      <c r="N942" s="580" t="s">
        <v>100</v>
      </c>
      <c r="O942" s="580" t="s">
        <v>1646</v>
      </c>
      <c r="P942" s="582" t="s">
        <v>100</v>
      </c>
    </row>
    <row r="943" spans="1:16" ht="15">
      <c r="A943" s="594">
        <v>44950</v>
      </c>
      <c r="B943" s="584" t="s">
        <v>1974</v>
      </c>
      <c r="C943" s="584" t="s">
        <v>430</v>
      </c>
      <c r="D943" s="584" t="s">
        <v>1723</v>
      </c>
      <c r="E943" s="584" t="s">
        <v>100</v>
      </c>
      <c r="F943" s="584" t="s">
        <v>436</v>
      </c>
      <c r="G943" s="585">
        <v>-400</v>
      </c>
      <c r="H943" s="584" t="s">
        <v>1641</v>
      </c>
      <c r="I943" s="584" t="s">
        <v>100</v>
      </c>
      <c r="J943" s="585">
        <v>0</v>
      </c>
      <c r="K943" s="595">
        <v>44950</v>
      </c>
      <c r="L943" s="596">
        <v>1846185</v>
      </c>
      <c r="M943" s="584" t="s">
        <v>100</v>
      </c>
      <c r="N943" s="584" t="s">
        <v>100</v>
      </c>
      <c r="O943" s="584" t="s">
        <v>1646</v>
      </c>
      <c r="P943" s="586" t="s">
        <v>100</v>
      </c>
    </row>
    <row r="944" spans="1:16" ht="15">
      <c r="A944" s="591">
        <v>44950</v>
      </c>
      <c r="B944" s="580" t="s">
        <v>1975</v>
      </c>
      <c r="C944" s="580" t="s">
        <v>430</v>
      </c>
      <c r="D944" s="580" t="s">
        <v>1723</v>
      </c>
      <c r="E944" s="580" t="s">
        <v>100</v>
      </c>
      <c r="F944" s="580" t="s">
        <v>436</v>
      </c>
      <c r="G944" s="581">
        <v>-400</v>
      </c>
      <c r="H944" s="580" t="s">
        <v>1641</v>
      </c>
      <c r="I944" s="580" t="s">
        <v>100</v>
      </c>
      <c r="J944" s="581">
        <v>0</v>
      </c>
      <c r="K944" s="592">
        <v>44950</v>
      </c>
      <c r="L944" s="593">
        <v>1846183</v>
      </c>
      <c r="M944" s="580" t="s">
        <v>100</v>
      </c>
      <c r="N944" s="580" t="s">
        <v>100</v>
      </c>
      <c r="O944" s="580" t="s">
        <v>1646</v>
      </c>
      <c r="P944" s="582" t="s">
        <v>100</v>
      </c>
    </row>
    <row r="945" spans="1:16" ht="15">
      <c r="A945" s="594">
        <v>44950</v>
      </c>
      <c r="B945" s="584" t="s">
        <v>1976</v>
      </c>
      <c r="C945" s="584" t="s">
        <v>430</v>
      </c>
      <c r="D945" s="584" t="s">
        <v>1723</v>
      </c>
      <c r="E945" s="584" t="s">
        <v>100</v>
      </c>
      <c r="F945" s="584" t="s">
        <v>436</v>
      </c>
      <c r="G945" s="585">
        <v>-400</v>
      </c>
      <c r="H945" s="584" t="s">
        <v>1641</v>
      </c>
      <c r="I945" s="584" t="s">
        <v>100</v>
      </c>
      <c r="J945" s="585">
        <v>0</v>
      </c>
      <c r="K945" s="595">
        <v>44950</v>
      </c>
      <c r="L945" s="596">
        <v>1846181</v>
      </c>
      <c r="M945" s="584" t="s">
        <v>100</v>
      </c>
      <c r="N945" s="584" t="s">
        <v>100</v>
      </c>
      <c r="O945" s="584" t="s">
        <v>1646</v>
      </c>
      <c r="P945" s="586" t="s">
        <v>100</v>
      </c>
    </row>
    <row r="946" spans="1:16" ht="15">
      <c r="A946" s="591">
        <v>44950</v>
      </c>
      <c r="B946" s="580" t="s">
        <v>1977</v>
      </c>
      <c r="C946" s="580" t="s">
        <v>430</v>
      </c>
      <c r="D946" s="580" t="s">
        <v>1723</v>
      </c>
      <c r="E946" s="580" t="s">
        <v>100</v>
      </c>
      <c r="F946" s="580" t="s">
        <v>436</v>
      </c>
      <c r="G946" s="581">
        <v>-400</v>
      </c>
      <c r="H946" s="580" t="s">
        <v>1641</v>
      </c>
      <c r="I946" s="580" t="s">
        <v>100</v>
      </c>
      <c r="J946" s="581">
        <v>0</v>
      </c>
      <c r="K946" s="592">
        <v>44950</v>
      </c>
      <c r="L946" s="593">
        <v>1846179</v>
      </c>
      <c r="M946" s="580" t="s">
        <v>100</v>
      </c>
      <c r="N946" s="580" t="s">
        <v>100</v>
      </c>
      <c r="O946" s="580" t="s">
        <v>1646</v>
      </c>
      <c r="P946" s="582" t="s">
        <v>100</v>
      </c>
    </row>
    <row r="947" spans="1:16" ht="15">
      <c r="A947" s="594">
        <v>44950</v>
      </c>
      <c r="B947" s="584" t="s">
        <v>1978</v>
      </c>
      <c r="C947" s="584" t="s">
        <v>430</v>
      </c>
      <c r="D947" s="584" t="s">
        <v>1723</v>
      </c>
      <c r="E947" s="584" t="s">
        <v>100</v>
      </c>
      <c r="F947" s="584" t="s">
        <v>436</v>
      </c>
      <c r="G947" s="585">
        <v>-400</v>
      </c>
      <c r="H947" s="584" t="s">
        <v>1641</v>
      </c>
      <c r="I947" s="584" t="s">
        <v>100</v>
      </c>
      <c r="J947" s="585">
        <v>0</v>
      </c>
      <c r="K947" s="595">
        <v>44950</v>
      </c>
      <c r="L947" s="596">
        <v>1846177</v>
      </c>
      <c r="M947" s="584" t="s">
        <v>100</v>
      </c>
      <c r="N947" s="584" t="s">
        <v>100</v>
      </c>
      <c r="O947" s="584" t="s">
        <v>1646</v>
      </c>
      <c r="P947" s="586" t="s">
        <v>100</v>
      </c>
    </row>
    <row r="948" spans="1:16" ht="15">
      <c r="A948" s="591">
        <v>44950</v>
      </c>
      <c r="B948" s="580" t="s">
        <v>1979</v>
      </c>
      <c r="C948" s="580" t="s">
        <v>430</v>
      </c>
      <c r="D948" s="580" t="s">
        <v>1723</v>
      </c>
      <c r="E948" s="580" t="s">
        <v>100</v>
      </c>
      <c r="F948" s="580" t="s">
        <v>436</v>
      </c>
      <c r="G948" s="581">
        <v>-400</v>
      </c>
      <c r="H948" s="580" t="s">
        <v>1641</v>
      </c>
      <c r="I948" s="580" t="s">
        <v>100</v>
      </c>
      <c r="J948" s="581">
        <v>0</v>
      </c>
      <c r="K948" s="592">
        <v>44950</v>
      </c>
      <c r="L948" s="593">
        <v>1846175</v>
      </c>
      <c r="M948" s="580" t="s">
        <v>100</v>
      </c>
      <c r="N948" s="580" t="s">
        <v>100</v>
      </c>
      <c r="O948" s="580" t="s">
        <v>1646</v>
      </c>
      <c r="P948" s="582" t="s">
        <v>100</v>
      </c>
    </row>
    <row r="949" spans="1:16" ht="15">
      <c r="A949" s="594">
        <v>44950</v>
      </c>
      <c r="B949" s="584" t="s">
        <v>1980</v>
      </c>
      <c r="C949" s="584" t="s">
        <v>430</v>
      </c>
      <c r="D949" s="584" t="s">
        <v>1723</v>
      </c>
      <c r="E949" s="584" t="s">
        <v>100</v>
      </c>
      <c r="F949" s="584" t="s">
        <v>436</v>
      </c>
      <c r="G949" s="585">
        <v>-400</v>
      </c>
      <c r="H949" s="584" t="s">
        <v>1641</v>
      </c>
      <c r="I949" s="584" t="s">
        <v>100</v>
      </c>
      <c r="J949" s="585">
        <v>0</v>
      </c>
      <c r="K949" s="595">
        <v>44950</v>
      </c>
      <c r="L949" s="596">
        <v>1846173</v>
      </c>
      <c r="M949" s="584" t="s">
        <v>100</v>
      </c>
      <c r="N949" s="584" t="s">
        <v>100</v>
      </c>
      <c r="O949" s="584" t="s">
        <v>1646</v>
      </c>
      <c r="P949" s="586" t="s">
        <v>100</v>
      </c>
    </row>
    <row r="950" spans="1:16" ht="15">
      <c r="A950" s="591">
        <v>44950</v>
      </c>
      <c r="B950" s="580" t="s">
        <v>1981</v>
      </c>
      <c r="C950" s="580" t="s">
        <v>430</v>
      </c>
      <c r="D950" s="580" t="s">
        <v>1723</v>
      </c>
      <c r="E950" s="580" t="s">
        <v>100</v>
      </c>
      <c r="F950" s="580" t="s">
        <v>436</v>
      </c>
      <c r="G950" s="581">
        <v>-400</v>
      </c>
      <c r="H950" s="580" t="s">
        <v>1641</v>
      </c>
      <c r="I950" s="580" t="s">
        <v>100</v>
      </c>
      <c r="J950" s="581">
        <v>0</v>
      </c>
      <c r="K950" s="592">
        <v>44950</v>
      </c>
      <c r="L950" s="593">
        <v>1846171</v>
      </c>
      <c r="M950" s="580" t="s">
        <v>100</v>
      </c>
      <c r="N950" s="580" t="s">
        <v>100</v>
      </c>
      <c r="O950" s="580" t="s">
        <v>1646</v>
      </c>
      <c r="P950" s="582" t="s">
        <v>100</v>
      </c>
    </row>
    <row r="951" spans="1:16" ht="15">
      <c r="A951" s="594">
        <v>44950</v>
      </c>
      <c r="B951" s="584" t="s">
        <v>1982</v>
      </c>
      <c r="C951" s="584" t="s">
        <v>430</v>
      </c>
      <c r="D951" s="584" t="s">
        <v>1723</v>
      </c>
      <c r="E951" s="584" t="s">
        <v>100</v>
      </c>
      <c r="F951" s="584" t="s">
        <v>436</v>
      </c>
      <c r="G951" s="585">
        <v>-400</v>
      </c>
      <c r="H951" s="584" t="s">
        <v>1641</v>
      </c>
      <c r="I951" s="584" t="s">
        <v>100</v>
      </c>
      <c r="J951" s="585">
        <v>0</v>
      </c>
      <c r="K951" s="595">
        <v>44950</v>
      </c>
      <c r="L951" s="596">
        <v>1846169</v>
      </c>
      <c r="M951" s="584" t="s">
        <v>100</v>
      </c>
      <c r="N951" s="584" t="s">
        <v>100</v>
      </c>
      <c r="O951" s="584" t="s">
        <v>1646</v>
      </c>
      <c r="P951" s="586" t="s">
        <v>100</v>
      </c>
    </row>
    <row r="952" spans="1:16" ht="15">
      <c r="A952" s="591">
        <v>44950</v>
      </c>
      <c r="B952" s="580" t="s">
        <v>1983</v>
      </c>
      <c r="C952" s="580" t="s">
        <v>430</v>
      </c>
      <c r="D952" s="580" t="s">
        <v>1723</v>
      </c>
      <c r="E952" s="580" t="s">
        <v>100</v>
      </c>
      <c r="F952" s="580" t="s">
        <v>436</v>
      </c>
      <c r="G952" s="581">
        <v>-400</v>
      </c>
      <c r="H952" s="580" t="s">
        <v>1641</v>
      </c>
      <c r="I952" s="580" t="s">
        <v>100</v>
      </c>
      <c r="J952" s="581">
        <v>0</v>
      </c>
      <c r="K952" s="592">
        <v>44950</v>
      </c>
      <c r="L952" s="593">
        <v>1846167</v>
      </c>
      <c r="M952" s="580" t="s">
        <v>100</v>
      </c>
      <c r="N952" s="580" t="s">
        <v>100</v>
      </c>
      <c r="O952" s="580" t="s">
        <v>1646</v>
      </c>
      <c r="P952" s="582" t="s">
        <v>100</v>
      </c>
    </row>
    <row r="953" spans="1:16" ht="15">
      <c r="A953" s="594">
        <v>44950</v>
      </c>
      <c r="B953" s="584" t="s">
        <v>1984</v>
      </c>
      <c r="C953" s="584" t="s">
        <v>430</v>
      </c>
      <c r="D953" s="584" t="s">
        <v>1723</v>
      </c>
      <c r="E953" s="584" t="s">
        <v>100</v>
      </c>
      <c r="F953" s="584" t="s">
        <v>436</v>
      </c>
      <c r="G953" s="585">
        <v>-400</v>
      </c>
      <c r="H953" s="584" t="s">
        <v>1641</v>
      </c>
      <c r="I953" s="584" t="s">
        <v>100</v>
      </c>
      <c r="J953" s="585">
        <v>0</v>
      </c>
      <c r="K953" s="595">
        <v>44950</v>
      </c>
      <c r="L953" s="596">
        <v>1846165</v>
      </c>
      <c r="M953" s="584" t="s">
        <v>100</v>
      </c>
      <c r="N953" s="584" t="s">
        <v>100</v>
      </c>
      <c r="O953" s="584" t="s">
        <v>1646</v>
      </c>
      <c r="P953" s="586" t="s">
        <v>100</v>
      </c>
    </row>
    <row r="954" spans="1:16" ht="15">
      <c r="A954" s="591">
        <v>44950</v>
      </c>
      <c r="B954" s="580" t="s">
        <v>1985</v>
      </c>
      <c r="C954" s="580" t="s">
        <v>430</v>
      </c>
      <c r="D954" s="580" t="s">
        <v>1723</v>
      </c>
      <c r="E954" s="580" t="s">
        <v>100</v>
      </c>
      <c r="F954" s="580" t="s">
        <v>436</v>
      </c>
      <c r="G954" s="581">
        <v>-400</v>
      </c>
      <c r="H954" s="580" t="s">
        <v>1641</v>
      </c>
      <c r="I954" s="580" t="s">
        <v>100</v>
      </c>
      <c r="J954" s="581">
        <v>0</v>
      </c>
      <c r="K954" s="592">
        <v>44950</v>
      </c>
      <c r="L954" s="593">
        <v>1846163</v>
      </c>
      <c r="M954" s="580" t="s">
        <v>100</v>
      </c>
      <c r="N954" s="580" t="s">
        <v>100</v>
      </c>
      <c r="O954" s="580" t="s">
        <v>1646</v>
      </c>
      <c r="P954" s="582" t="s">
        <v>100</v>
      </c>
    </row>
    <row r="955" spans="1:16" ht="15">
      <c r="A955" s="594">
        <v>44950</v>
      </c>
      <c r="B955" s="584" t="s">
        <v>1986</v>
      </c>
      <c r="C955" s="584" t="s">
        <v>430</v>
      </c>
      <c r="D955" s="584" t="s">
        <v>1723</v>
      </c>
      <c r="E955" s="584" t="s">
        <v>100</v>
      </c>
      <c r="F955" s="584" t="s">
        <v>436</v>
      </c>
      <c r="G955" s="585">
        <v>-400</v>
      </c>
      <c r="H955" s="584" t="s">
        <v>1641</v>
      </c>
      <c r="I955" s="584" t="s">
        <v>100</v>
      </c>
      <c r="J955" s="585">
        <v>0</v>
      </c>
      <c r="K955" s="595">
        <v>44950</v>
      </c>
      <c r="L955" s="596">
        <v>1846161</v>
      </c>
      <c r="M955" s="584" t="s">
        <v>100</v>
      </c>
      <c r="N955" s="584" t="s">
        <v>100</v>
      </c>
      <c r="O955" s="584" t="s">
        <v>1646</v>
      </c>
      <c r="P955" s="586" t="s">
        <v>100</v>
      </c>
    </row>
    <row r="956" spans="1:16" ht="15">
      <c r="A956" s="591">
        <v>44950</v>
      </c>
      <c r="B956" s="580" t="s">
        <v>1987</v>
      </c>
      <c r="C956" s="580" t="s">
        <v>430</v>
      </c>
      <c r="D956" s="580" t="s">
        <v>1723</v>
      </c>
      <c r="E956" s="580" t="s">
        <v>100</v>
      </c>
      <c r="F956" s="580" t="s">
        <v>436</v>
      </c>
      <c r="G956" s="581">
        <v>-400</v>
      </c>
      <c r="H956" s="580" t="s">
        <v>1641</v>
      </c>
      <c r="I956" s="580" t="s">
        <v>100</v>
      </c>
      <c r="J956" s="581">
        <v>0</v>
      </c>
      <c r="K956" s="592">
        <v>44950</v>
      </c>
      <c r="L956" s="593">
        <v>1846159</v>
      </c>
      <c r="M956" s="580" t="s">
        <v>100</v>
      </c>
      <c r="N956" s="580" t="s">
        <v>100</v>
      </c>
      <c r="O956" s="580" t="s">
        <v>1646</v>
      </c>
      <c r="P956" s="582" t="s">
        <v>100</v>
      </c>
    </row>
    <row r="957" spans="1:16" ht="15">
      <c r="A957" s="594">
        <v>44950</v>
      </c>
      <c r="B957" s="584" t="s">
        <v>1988</v>
      </c>
      <c r="C957" s="584" t="s">
        <v>430</v>
      </c>
      <c r="D957" s="584" t="s">
        <v>1723</v>
      </c>
      <c r="E957" s="584" t="s">
        <v>100</v>
      </c>
      <c r="F957" s="584" t="s">
        <v>436</v>
      </c>
      <c r="G957" s="585">
        <v>-400</v>
      </c>
      <c r="H957" s="584" t="s">
        <v>1641</v>
      </c>
      <c r="I957" s="584" t="s">
        <v>100</v>
      </c>
      <c r="J957" s="585">
        <v>0</v>
      </c>
      <c r="K957" s="595">
        <v>44950</v>
      </c>
      <c r="L957" s="596">
        <v>1846157</v>
      </c>
      <c r="M957" s="584" t="s">
        <v>100</v>
      </c>
      <c r="N957" s="584" t="s">
        <v>100</v>
      </c>
      <c r="O957" s="584" t="s">
        <v>1646</v>
      </c>
      <c r="P957" s="586" t="s">
        <v>100</v>
      </c>
    </row>
    <row r="958" spans="1:16" ht="15">
      <c r="A958" s="591">
        <v>44950</v>
      </c>
      <c r="B958" s="580" t="s">
        <v>1989</v>
      </c>
      <c r="C958" s="580" t="s">
        <v>430</v>
      </c>
      <c r="D958" s="580" t="s">
        <v>1723</v>
      </c>
      <c r="E958" s="580" t="s">
        <v>100</v>
      </c>
      <c r="F958" s="580" t="s">
        <v>436</v>
      </c>
      <c r="G958" s="581">
        <v>-400</v>
      </c>
      <c r="H958" s="580" t="s">
        <v>1641</v>
      </c>
      <c r="I958" s="580" t="s">
        <v>100</v>
      </c>
      <c r="J958" s="581">
        <v>0</v>
      </c>
      <c r="K958" s="592">
        <v>44950</v>
      </c>
      <c r="L958" s="593">
        <v>1846155</v>
      </c>
      <c r="M958" s="580" t="s">
        <v>100</v>
      </c>
      <c r="N958" s="580" t="s">
        <v>100</v>
      </c>
      <c r="O958" s="580" t="s">
        <v>1646</v>
      </c>
      <c r="P958" s="582" t="s">
        <v>100</v>
      </c>
    </row>
    <row r="959" spans="1:16" ht="15">
      <c r="A959" s="594">
        <v>44950</v>
      </c>
      <c r="B959" s="584" t="s">
        <v>1990</v>
      </c>
      <c r="C959" s="584" t="s">
        <v>430</v>
      </c>
      <c r="D959" s="584" t="s">
        <v>1723</v>
      </c>
      <c r="E959" s="584" t="s">
        <v>100</v>
      </c>
      <c r="F959" s="584" t="s">
        <v>436</v>
      </c>
      <c r="G959" s="585">
        <v>-400</v>
      </c>
      <c r="H959" s="584" t="s">
        <v>1641</v>
      </c>
      <c r="I959" s="584" t="s">
        <v>100</v>
      </c>
      <c r="J959" s="585">
        <v>0</v>
      </c>
      <c r="K959" s="595">
        <v>44950</v>
      </c>
      <c r="L959" s="596">
        <v>1846153</v>
      </c>
      <c r="M959" s="584" t="s">
        <v>100</v>
      </c>
      <c r="N959" s="584" t="s">
        <v>100</v>
      </c>
      <c r="O959" s="584" t="s">
        <v>1646</v>
      </c>
      <c r="P959" s="586" t="s">
        <v>100</v>
      </c>
    </row>
    <row r="960" spans="1:16" ht="15">
      <c r="A960" s="591">
        <v>44950</v>
      </c>
      <c r="B960" s="580" t="s">
        <v>1991</v>
      </c>
      <c r="C960" s="580" t="s">
        <v>430</v>
      </c>
      <c r="D960" s="580" t="s">
        <v>1723</v>
      </c>
      <c r="E960" s="580" t="s">
        <v>100</v>
      </c>
      <c r="F960" s="580" t="s">
        <v>436</v>
      </c>
      <c r="G960" s="581">
        <v>-400</v>
      </c>
      <c r="H960" s="580" t="s">
        <v>1641</v>
      </c>
      <c r="I960" s="580" t="s">
        <v>100</v>
      </c>
      <c r="J960" s="581">
        <v>0</v>
      </c>
      <c r="K960" s="592">
        <v>44950</v>
      </c>
      <c r="L960" s="593">
        <v>1846151</v>
      </c>
      <c r="M960" s="580" t="s">
        <v>100</v>
      </c>
      <c r="N960" s="580" t="s">
        <v>100</v>
      </c>
      <c r="O960" s="580" t="s">
        <v>1646</v>
      </c>
      <c r="P960" s="582" t="s">
        <v>100</v>
      </c>
    </row>
    <row r="961" spans="1:16" ht="15">
      <c r="A961" s="594">
        <v>44950</v>
      </c>
      <c r="B961" s="584" t="s">
        <v>1992</v>
      </c>
      <c r="C961" s="584" t="s">
        <v>430</v>
      </c>
      <c r="D961" s="584" t="s">
        <v>1723</v>
      </c>
      <c r="E961" s="584" t="s">
        <v>100</v>
      </c>
      <c r="F961" s="584" t="s">
        <v>436</v>
      </c>
      <c r="G961" s="585">
        <v>-400</v>
      </c>
      <c r="H961" s="584" t="s">
        <v>1641</v>
      </c>
      <c r="I961" s="584" t="s">
        <v>100</v>
      </c>
      <c r="J961" s="585">
        <v>0</v>
      </c>
      <c r="K961" s="595">
        <v>44950</v>
      </c>
      <c r="L961" s="596">
        <v>1846149</v>
      </c>
      <c r="M961" s="584" t="s">
        <v>100</v>
      </c>
      <c r="N961" s="584" t="s">
        <v>100</v>
      </c>
      <c r="O961" s="584" t="s">
        <v>1646</v>
      </c>
      <c r="P961" s="586" t="s">
        <v>100</v>
      </c>
    </row>
    <row r="962" spans="1:16" ht="15">
      <c r="A962" s="591">
        <v>44950</v>
      </c>
      <c r="B962" s="580" t="s">
        <v>1993</v>
      </c>
      <c r="C962" s="580" t="s">
        <v>430</v>
      </c>
      <c r="D962" s="580" t="s">
        <v>1723</v>
      </c>
      <c r="E962" s="580" t="s">
        <v>100</v>
      </c>
      <c r="F962" s="580" t="s">
        <v>436</v>
      </c>
      <c r="G962" s="581">
        <v>-400</v>
      </c>
      <c r="H962" s="580" t="s">
        <v>1641</v>
      </c>
      <c r="I962" s="580" t="s">
        <v>100</v>
      </c>
      <c r="J962" s="581">
        <v>0</v>
      </c>
      <c r="K962" s="592">
        <v>44950</v>
      </c>
      <c r="L962" s="593">
        <v>1846147</v>
      </c>
      <c r="M962" s="580" t="s">
        <v>100</v>
      </c>
      <c r="N962" s="580" t="s">
        <v>100</v>
      </c>
      <c r="O962" s="580" t="s">
        <v>1646</v>
      </c>
      <c r="P962" s="582" t="s">
        <v>100</v>
      </c>
    </row>
    <row r="963" spans="1:16" ht="15">
      <c r="A963" s="594">
        <v>44950</v>
      </c>
      <c r="B963" s="584" t="s">
        <v>1994</v>
      </c>
      <c r="C963" s="584" t="s">
        <v>430</v>
      </c>
      <c r="D963" s="584" t="s">
        <v>1723</v>
      </c>
      <c r="E963" s="584" t="s">
        <v>100</v>
      </c>
      <c r="F963" s="584" t="s">
        <v>436</v>
      </c>
      <c r="G963" s="585">
        <v>-400</v>
      </c>
      <c r="H963" s="584" t="s">
        <v>1641</v>
      </c>
      <c r="I963" s="584" t="s">
        <v>100</v>
      </c>
      <c r="J963" s="585">
        <v>0</v>
      </c>
      <c r="K963" s="595">
        <v>44950</v>
      </c>
      <c r="L963" s="596">
        <v>1846145</v>
      </c>
      <c r="M963" s="584" t="s">
        <v>100</v>
      </c>
      <c r="N963" s="584" t="s">
        <v>100</v>
      </c>
      <c r="O963" s="584" t="s">
        <v>1646</v>
      </c>
      <c r="P963" s="586" t="s">
        <v>100</v>
      </c>
    </row>
    <row r="964" spans="1:16" ht="15">
      <c r="A964" s="591">
        <v>44950</v>
      </c>
      <c r="B964" s="580" t="s">
        <v>1995</v>
      </c>
      <c r="C964" s="580" t="s">
        <v>430</v>
      </c>
      <c r="D964" s="580" t="s">
        <v>1723</v>
      </c>
      <c r="E964" s="580" t="s">
        <v>100</v>
      </c>
      <c r="F964" s="580" t="s">
        <v>436</v>
      </c>
      <c r="G964" s="581">
        <v>-400</v>
      </c>
      <c r="H964" s="580" t="s">
        <v>1641</v>
      </c>
      <c r="I964" s="580" t="s">
        <v>100</v>
      </c>
      <c r="J964" s="581">
        <v>0</v>
      </c>
      <c r="K964" s="592">
        <v>44950</v>
      </c>
      <c r="L964" s="593">
        <v>1846143</v>
      </c>
      <c r="M964" s="580" t="s">
        <v>100</v>
      </c>
      <c r="N964" s="580" t="s">
        <v>100</v>
      </c>
      <c r="O964" s="580" t="s">
        <v>1646</v>
      </c>
      <c r="P964" s="582" t="s">
        <v>100</v>
      </c>
    </row>
    <row r="965" spans="1:16" ht="15">
      <c r="A965" s="594">
        <v>44950</v>
      </c>
      <c r="B965" s="584" t="s">
        <v>1996</v>
      </c>
      <c r="C965" s="584" t="s">
        <v>430</v>
      </c>
      <c r="D965" s="584" t="s">
        <v>1723</v>
      </c>
      <c r="E965" s="584" t="s">
        <v>100</v>
      </c>
      <c r="F965" s="584" t="s">
        <v>436</v>
      </c>
      <c r="G965" s="585">
        <v>-400</v>
      </c>
      <c r="H965" s="584" t="s">
        <v>1641</v>
      </c>
      <c r="I965" s="584" t="s">
        <v>100</v>
      </c>
      <c r="J965" s="585">
        <v>0</v>
      </c>
      <c r="K965" s="595">
        <v>44950</v>
      </c>
      <c r="L965" s="596">
        <v>1846141</v>
      </c>
      <c r="M965" s="584" t="s">
        <v>100</v>
      </c>
      <c r="N965" s="584" t="s">
        <v>100</v>
      </c>
      <c r="O965" s="584" t="s">
        <v>1646</v>
      </c>
      <c r="P965" s="586" t="s">
        <v>100</v>
      </c>
    </row>
    <row r="966" spans="1:16" ht="15">
      <c r="A966" s="591">
        <v>44950</v>
      </c>
      <c r="B966" s="580" t="s">
        <v>1997</v>
      </c>
      <c r="C966" s="580" t="s">
        <v>430</v>
      </c>
      <c r="D966" s="580" t="s">
        <v>1723</v>
      </c>
      <c r="E966" s="580" t="s">
        <v>100</v>
      </c>
      <c r="F966" s="580" t="s">
        <v>436</v>
      </c>
      <c r="G966" s="581">
        <v>-400</v>
      </c>
      <c r="H966" s="580" t="s">
        <v>1641</v>
      </c>
      <c r="I966" s="580" t="s">
        <v>100</v>
      </c>
      <c r="J966" s="581">
        <v>0</v>
      </c>
      <c r="K966" s="592">
        <v>44950</v>
      </c>
      <c r="L966" s="593">
        <v>1846139</v>
      </c>
      <c r="M966" s="580" t="s">
        <v>100</v>
      </c>
      <c r="N966" s="580" t="s">
        <v>100</v>
      </c>
      <c r="O966" s="580" t="s">
        <v>1646</v>
      </c>
      <c r="P966" s="582" t="s">
        <v>100</v>
      </c>
    </row>
    <row r="967" spans="1:16" ht="15">
      <c r="A967" s="594">
        <v>44950</v>
      </c>
      <c r="B967" s="584" t="s">
        <v>1998</v>
      </c>
      <c r="C967" s="584" t="s">
        <v>430</v>
      </c>
      <c r="D967" s="584" t="s">
        <v>1723</v>
      </c>
      <c r="E967" s="584" t="s">
        <v>100</v>
      </c>
      <c r="F967" s="584" t="s">
        <v>436</v>
      </c>
      <c r="G967" s="585">
        <v>-400</v>
      </c>
      <c r="H967" s="584" t="s">
        <v>1641</v>
      </c>
      <c r="I967" s="584" t="s">
        <v>100</v>
      </c>
      <c r="J967" s="585">
        <v>0</v>
      </c>
      <c r="K967" s="595">
        <v>44950</v>
      </c>
      <c r="L967" s="596">
        <v>1846137</v>
      </c>
      <c r="M967" s="584" t="s">
        <v>100</v>
      </c>
      <c r="N967" s="584" t="s">
        <v>100</v>
      </c>
      <c r="O967" s="584" t="s">
        <v>1646</v>
      </c>
      <c r="P967" s="586" t="s">
        <v>100</v>
      </c>
    </row>
    <row r="968" spans="1:16" ht="15">
      <c r="A968" s="591">
        <v>44950</v>
      </c>
      <c r="B968" s="580" t="s">
        <v>1999</v>
      </c>
      <c r="C968" s="580" t="s">
        <v>430</v>
      </c>
      <c r="D968" s="580" t="s">
        <v>1723</v>
      </c>
      <c r="E968" s="580" t="s">
        <v>100</v>
      </c>
      <c r="F968" s="580" t="s">
        <v>436</v>
      </c>
      <c r="G968" s="581">
        <v>-400</v>
      </c>
      <c r="H968" s="580" t="s">
        <v>1641</v>
      </c>
      <c r="I968" s="580" t="s">
        <v>100</v>
      </c>
      <c r="J968" s="581">
        <v>0</v>
      </c>
      <c r="K968" s="592">
        <v>44950</v>
      </c>
      <c r="L968" s="593">
        <v>1846135</v>
      </c>
      <c r="M968" s="580" t="s">
        <v>100</v>
      </c>
      <c r="N968" s="580" t="s">
        <v>100</v>
      </c>
      <c r="O968" s="580" t="s">
        <v>1646</v>
      </c>
      <c r="P968" s="582" t="s">
        <v>100</v>
      </c>
    </row>
    <row r="969" spans="1:16" ht="15">
      <c r="A969" s="594">
        <v>44950</v>
      </c>
      <c r="B969" s="584" t="s">
        <v>2000</v>
      </c>
      <c r="C969" s="584" t="s">
        <v>430</v>
      </c>
      <c r="D969" s="584" t="s">
        <v>1723</v>
      </c>
      <c r="E969" s="584" t="s">
        <v>100</v>
      </c>
      <c r="F969" s="584" t="s">
        <v>436</v>
      </c>
      <c r="G969" s="585">
        <v>-400</v>
      </c>
      <c r="H969" s="584" t="s">
        <v>1641</v>
      </c>
      <c r="I969" s="584" t="s">
        <v>100</v>
      </c>
      <c r="J969" s="585">
        <v>0</v>
      </c>
      <c r="K969" s="595">
        <v>44950</v>
      </c>
      <c r="L969" s="596">
        <v>1846133</v>
      </c>
      <c r="M969" s="584" t="s">
        <v>100</v>
      </c>
      <c r="N969" s="584" t="s">
        <v>100</v>
      </c>
      <c r="O969" s="584" t="s">
        <v>1646</v>
      </c>
      <c r="P969" s="586" t="s">
        <v>100</v>
      </c>
    </row>
    <row r="970" spans="1:16" ht="15">
      <c r="A970" s="591">
        <v>44950</v>
      </c>
      <c r="B970" s="580" t="s">
        <v>2001</v>
      </c>
      <c r="C970" s="580" t="s">
        <v>430</v>
      </c>
      <c r="D970" s="580" t="s">
        <v>2002</v>
      </c>
      <c r="E970" s="580" t="s">
        <v>100</v>
      </c>
      <c r="F970" s="580" t="s">
        <v>436</v>
      </c>
      <c r="G970" s="581">
        <v>-400</v>
      </c>
      <c r="H970" s="580" t="s">
        <v>1641</v>
      </c>
      <c r="I970" s="580" t="s">
        <v>100</v>
      </c>
      <c r="J970" s="581">
        <v>0</v>
      </c>
      <c r="K970" s="592">
        <v>44950</v>
      </c>
      <c r="L970" s="593">
        <v>1846131</v>
      </c>
      <c r="M970" s="580" t="s">
        <v>100</v>
      </c>
      <c r="N970" s="580" t="s">
        <v>100</v>
      </c>
      <c r="O970" s="580" t="s">
        <v>1646</v>
      </c>
      <c r="P970" s="582" t="s">
        <v>100</v>
      </c>
    </row>
    <row r="971" spans="1:16" ht="15">
      <c r="A971" s="594">
        <v>44950</v>
      </c>
      <c r="B971" s="584" t="s">
        <v>2003</v>
      </c>
      <c r="C971" s="584" t="s">
        <v>430</v>
      </c>
      <c r="D971" s="584" t="s">
        <v>1723</v>
      </c>
      <c r="E971" s="584" t="s">
        <v>100</v>
      </c>
      <c r="F971" s="584" t="s">
        <v>436</v>
      </c>
      <c r="G971" s="585">
        <v>-400</v>
      </c>
      <c r="H971" s="584" t="s">
        <v>1641</v>
      </c>
      <c r="I971" s="584" t="s">
        <v>100</v>
      </c>
      <c r="J971" s="585">
        <v>0</v>
      </c>
      <c r="K971" s="595">
        <v>44950</v>
      </c>
      <c r="L971" s="596">
        <v>1846129</v>
      </c>
      <c r="M971" s="584" t="s">
        <v>100</v>
      </c>
      <c r="N971" s="584" t="s">
        <v>100</v>
      </c>
      <c r="O971" s="584" t="s">
        <v>1646</v>
      </c>
      <c r="P971" s="586" t="s">
        <v>100</v>
      </c>
    </row>
    <row r="972" spans="1:16" ht="15">
      <c r="A972" s="591">
        <v>44950</v>
      </c>
      <c r="B972" s="580" t="s">
        <v>2004</v>
      </c>
      <c r="C972" s="580" t="s">
        <v>430</v>
      </c>
      <c r="D972" s="580" t="s">
        <v>1723</v>
      </c>
      <c r="E972" s="580" t="s">
        <v>100</v>
      </c>
      <c r="F972" s="580" t="s">
        <v>436</v>
      </c>
      <c r="G972" s="581">
        <v>-400</v>
      </c>
      <c r="H972" s="580" t="s">
        <v>1641</v>
      </c>
      <c r="I972" s="580" t="s">
        <v>100</v>
      </c>
      <c r="J972" s="581">
        <v>0</v>
      </c>
      <c r="K972" s="592">
        <v>44950</v>
      </c>
      <c r="L972" s="593">
        <v>1846127</v>
      </c>
      <c r="M972" s="580" t="s">
        <v>100</v>
      </c>
      <c r="N972" s="580" t="s">
        <v>100</v>
      </c>
      <c r="O972" s="580" t="s">
        <v>1646</v>
      </c>
      <c r="P972" s="582" t="s">
        <v>100</v>
      </c>
    </row>
    <row r="973" spans="1:16" ht="15">
      <c r="A973" s="594">
        <v>44950</v>
      </c>
      <c r="B973" s="584" t="s">
        <v>2005</v>
      </c>
      <c r="C973" s="584" t="s">
        <v>430</v>
      </c>
      <c r="D973" s="584" t="s">
        <v>1723</v>
      </c>
      <c r="E973" s="584" t="s">
        <v>100</v>
      </c>
      <c r="F973" s="584" t="s">
        <v>436</v>
      </c>
      <c r="G973" s="585">
        <v>-400</v>
      </c>
      <c r="H973" s="584" t="s">
        <v>1641</v>
      </c>
      <c r="I973" s="584" t="s">
        <v>100</v>
      </c>
      <c r="J973" s="585">
        <v>0</v>
      </c>
      <c r="K973" s="595">
        <v>44950</v>
      </c>
      <c r="L973" s="596">
        <v>1846125</v>
      </c>
      <c r="M973" s="584" t="s">
        <v>100</v>
      </c>
      <c r="N973" s="584" t="s">
        <v>100</v>
      </c>
      <c r="O973" s="584" t="s">
        <v>1646</v>
      </c>
      <c r="P973" s="586" t="s">
        <v>100</v>
      </c>
    </row>
    <row r="974" spans="1:16" ht="15">
      <c r="A974" s="591">
        <v>44950</v>
      </c>
      <c r="B974" s="580" t="s">
        <v>2006</v>
      </c>
      <c r="C974" s="580" t="s">
        <v>430</v>
      </c>
      <c r="D974" s="580" t="s">
        <v>1723</v>
      </c>
      <c r="E974" s="580" t="s">
        <v>100</v>
      </c>
      <c r="F974" s="580" t="s">
        <v>436</v>
      </c>
      <c r="G974" s="581">
        <v>-400</v>
      </c>
      <c r="H974" s="580" t="s">
        <v>1641</v>
      </c>
      <c r="I974" s="580" t="s">
        <v>100</v>
      </c>
      <c r="J974" s="581">
        <v>0</v>
      </c>
      <c r="K974" s="592">
        <v>44950</v>
      </c>
      <c r="L974" s="593">
        <v>1846123</v>
      </c>
      <c r="M974" s="580" t="s">
        <v>100</v>
      </c>
      <c r="N974" s="580" t="s">
        <v>100</v>
      </c>
      <c r="O974" s="580" t="s">
        <v>1646</v>
      </c>
      <c r="P974" s="582" t="s">
        <v>100</v>
      </c>
    </row>
    <row r="975" spans="1:16" ht="15">
      <c r="A975" s="594">
        <v>44950</v>
      </c>
      <c r="B975" s="584" t="s">
        <v>2007</v>
      </c>
      <c r="C975" s="584" t="s">
        <v>430</v>
      </c>
      <c r="D975" s="584" t="s">
        <v>1723</v>
      </c>
      <c r="E975" s="584" t="s">
        <v>100</v>
      </c>
      <c r="F975" s="584" t="s">
        <v>436</v>
      </c>
      <c r="G975" s="585">
        <v>-400</v>
      </c>
      <c r="H975" s="584" t="s">
        <v>1641</v>
      </c>
      <c r="I975" s="584" t="s">
        <v>100</v>
      </c>
      <c r="J975" s="585">
        <v>0</v>
      </c>
      <c r="K975" s="595">
        <v>44950</v>
      </c>
      <c r="L975" s="596">
        <v>1846121</v>
      </c>
      <c r="M975" s="584" t="s">
        <v>100</v>
      </c>
      <c r="N975" s="584" t="s">
        <v>100</v>
      </c>
      <c r="O975" s="584" t="s">
        <v>1646</v>
      </c>
      <c r="P975" s="586" t="s">
        <v>100</v>
      </c>
    </row>
    <row r="976" spans="1:16" ht="15">
      <c r="A976" s="591">
        <v>44950</v>
      </c>
      <c r="B976" s="580" t="s">
        <v>2008</v>
      </c>
      <c r="C976" s="580" t="s">
        <v>430</v>
      </c>
      <c r="D976" s="580" t="s">
        <v>1723</v>
      </c>
      <c r="E976" s="580" t="s">
        <v>100</v>
      </c>
      <c r="F976" s="580" t="s">
        <v>436</v>
      </c>
      <c r="G976" s="581">
        <v>-400</v>
      </c>
      <c r="H976" s="580" t="s">
        <v>1641</v>
      </c>
      <c r="I976" s="580" t="s">
        <v>100</v>
      </c>
      <c r="J976" s="581">
        <v>0</v>
      </c>
      <c r="K976" s="592">
        <v>44950</v>
      </c>
      <c r="L976" s="593">
        <v>1846119</v>
      </c>
      <c r="M976" s="580" t="s">
        <v>100</v>
      </c>
      <c r="N976" s="580" t="s">
        <v>100</v>
      </c>
      <c r="O976" s="580" t="s">
        <v>1646</v>
      </c>
      <c r="P976" s="582" t="s">
        <v>100</v>
      </c>
    </row>
    <row r="977" spans="1:16" ht="15">
      <c r="A977" s="594">
        <v>44950</v>
      </c>
      <c r="B977" s="584" t="s">
        <v>2009</v>
      </c>
      <c r="C977" s="584" t="s">
        <v>430</v>
      </c>
      <c r="D977" s="584" t="s">
        <v>1723</v>
      </c>
      <c r="E977" s="584" t="s">
        <v>100</v>
      </c>
      <c r="F977" s="584" t="s">
        <v>436</v>
      </c>
      <c r="G977" s="585">
        <v>-400</v>
      </c>
      <c r="H977" s="584" t="s">
        <v>1641</v>
      </c>
      <c r="I977" s="584" t="s">
        <v>100</v>
      </c>
      <c r="J977" s="585">
        <v>0</v>
      </c>
      <c r="K977" s="595">
        <v>44950</v>
      </c>
      <c r="L977" s="596">
        <v>1846117</v>
      </c>
      <c r="M977" s="584" t="s">
        <v>100</v>
      </c>
      <c r="N977" s="584" t="s">
        <v>100</v>
      </c>
      <c r="O977" s="584" t="s">
        <v>1646</v>
      </c>
      <c r="P977" s="586" t="s">
        <v>100</v>
      </c>
    </row>
    <row r="978" spans="1:16" ht="15">
      <c r="A978" s="591">
        <v>44950</v>
      </c>
      <c r="B978" s="580" t="s">
        <v>2010</v>
      </c>
      <c r="C978" s="580" t="s">
        <v>430</v>
      </c>
      <c r="D978" s="580" t="s">
        <v>1723</v>
      </c>
      <c r="E978" s="580" t="s">
        <v>100</v>
      </c>
      <c r="F978" s="580" t="s">
        <v>436</v>
      </c>
      <c r="G978" s="581">
        <v>-400</v>
      </c>
      <c r="H978" s="580" t="s">
        <v>1641</v>
      </c>
      <c r="I978" s="580" t="s">
        <v>100</v>
      </c>
      <c r="J978" s="581">
        <v>0</v>
      </c>
      <c r="K978" s="592">
        <v>44950</v>
      </c>
      <c r="L978" s="593">
        <v>1846115</v>
      </c>
      <c r="M978" s="580" t="s">
        <v>100</v>
      </c>
      <c r="N978" s="580" t="s">
        <v>100</v>
      </c>
      <c r="O978" s="580" t="s">
        <v>1646</v>
      </c>
      <c r="P978" s="582" t="s">
        <v>100</v>
      </c>
    </row>
    <row r="979" spans="1:16" ht="15">
      <c r="A979" s="594">
        <v>44950</v>
      </c>
      <c r="B979" s="584" t="s">
        <v>2011</v>
      </c>
      <c r="C979" s="584" t="s">
        <v>430</v>
      </c>
      <c r="D979" s="584" t="s">
        <v>1723</v>
      </c>
      <c r="E979" s="584" t="s">
        <v>100</v>
      </c>
      <c r="F979" s="584" t="s">
        <v>436</v>
      </c>
      <c r="G979" s="585">
        <v>-400</v>
      </c>
      <c r="H979" s="584" t="s">
        <v>1641</v>
      </c>
      <c r="I979" s="584" t="s">
        <v>100</v>
      </c>
      <c r="J979" s="585">
        <v>0</v>
      </c>
      <c r="K979" s="595">
        <v>44950</v>
      </c>
      <c r="L979" s="596">
        <v>1846113</v>
      </c>
      <c r="M979" s="584" t="s">
        <v>100</v>
      </c>
      <c r="N979" s="584" t="s">
        <v>100</v>
      </c>
      <c r="O979" s="584" t="s">
        <v>1646</v>
      </c>
      <c r="P979" s="586" t="s">
        <v>100</v>
      </c>
    </row>
    <row r="980" spans="1:16" ht="15">
      <c r="A980" s="591">
        <v>44950</v>
      </c>
      <c r="B980" s="580" t="s">
        <v>2012</v>
      </c>
      <c r="C980" s="580" t="s">
        <v>430</v>
      </c>
      <c r="D980" s="580" t="s">
        <v>1723</v>
      </c>
      <c r="E980" s="580" t="s">
        <v>100</v>
      </c>
      <c r="F980" s="580" t="s">
        <v>436</v>
      </c>
      <c r="G980" s="581">
        <v>-400</v>
      </c>
      <c r="H980" s="580" t="s">
        <v>1641</v>
      </c>
      <c r="I980" s="580" t="s">
        <v>100</v>
      </c>
      <c r="J980" s="581">
        <v>0</v>
      </c>
      <c r="K980" s="592">
        <v>44950</v>
      </c>
      <c r="L980" s="593">
        <v>1846111</v>
      </c>
      <c r="M980" s="580" t="s">
        <v>100</v>
      </c>
      <c r="N980" s="580" t="s">
        <v>100</v>
      </c>
      <c r="O980" s="580" t="s">
        <v>1646</v>
      </c>
      <c r="P980" s="582" t="s">
        <v>100</v>
      </c>
    </row>
    <row r="981" spans="1:16" ht="15">
      <c r="A981" s="594">
        <v>44950</v>
      </c>
      <c r="B981" s="584" t="s">
        <v>2013</v>
      </c>
      <c r="C981" s="584" t="s">
        <v>430</v>
      </c>
      <c r="D981" s="584" t="s">
        <v>1723</v>
      </c>
      <c r="E981" s="584" t="s">
        <v>100</v>
      </c>
      <c r="F981" s="584" t="s">
        <v>436</v>
      </c>
      <c r="G981" s="585">
        <v>-400</v>
      </c>
      <c r="H981" s="584" t="s">
        <v>1641</v>
      </c>
      <c r="I981" s="584" t="s">
        <v>100</v>
      </c>
      <c r="J981" s="585">
        <v>0</v>
      </c>
      <c r="K981" s="595">
        <v>44950</v>
      </c>
      <c r="L981" s="596">
        <v>1846109</v>
      </c>
      <c r="M981" s="584" t="s">
        <v>100</v>
      </c>
      <c r="N981" s="584" t="s">
        <v>100</v>
      </c>
      <c r="O981" s="584" t="s">
        <v>1646</v>
      </c>
      <c r="P981" s="586" t="s">
        <v>100</v>
      </c>
    </row>
    <row r="982" spans="1:16" ht="15">
      <c r="A982" s="591">
        <v>44950</v>
      </c>
      <c r="B982" s="580" t="s">
        <v>2014</v>
      </c>
      <c r="C982" s="580" t="s">
        <v>430</v>
      </c>
      <c r="D982" s="580" t="s">
        <v>1723</v>
      </c>
      <c r="E982" s="580" t="s">
        <v>100</v>
      </c>
      <c r="F982" s="580" t="s">
        <v>436</v>
      </c>
      <c r="G982" s="581">
        <v>-400</v>
      </c>
      <c r="H982" s="580" t="s">
        <v>1641</v>
      </c>
      <c r="I982" s="580" t="s">
        <v>100</v>
      </c>
      <c r="J982" s="581">
        <v>0</v>
      </c>
      <c r="K982" s="592">
        <v>44950</v>
      </c>
      <c r="L982" s="593">
        <v>1846107</v>
      </c>
      <c r="M982" s="580" t="s">
        <v>100</v>
      </c>
      <c r="N982" s="580" t="s">
        <v>100</v>
      </c>
      <c r="O982" s="580" t="s">
        <v>1646</v>
      </c>
      <c r="P982" s="582" t="s">
        <v>100</v>
      </c>
    </row>
    <row r="983" spans="1:16" ht="15">
      <c r="A983" s="591"/>
      <c r="B983" s="580"/>
      <c r="C983" s="580"/>
      <c r="D983" s="580"/>
      <c r="E983" s="580"/>
      <c r="F983" s="580"/>
      <c r="G983" s="581">
        <f>SUM(G690:G982)</f>
        <v>0.5</v>
      </c>
      <c r="H983" s="580"/>
      <c r="I983" s="580"/>
      <c r="J983" s="581"/>
      <c r="K983" s="592"/>
      <c r="L983" s="593"/>
      <c r="M983" s="580"/>
      <c r="N983" s="580"/>
      <c r="O983" s="580"/>
      <c r="P983" s="582"/>
    </row>
    <row r="984" spans="1:16" ht="15">
      <c r="A984" s="591"/>
      <c r="B984" s="580"/>
      <c r="C984" s="580"/>
      <c r="D984" s="580"/>
      <c r="E984" s="580"/>
      <c r="F984" s="580"/>
      <c r="G984" s="581"/>
      <c r="H984" s="580"/>
      <c r="I984" s="580"/>
      <c r="J984" s="581"/>
      <c r="K984" s="592"/>
      <c r="L984" s="593"/>
      <c r="M984" s="580"/>
      <c r="N984" s="580"/>
      <c r="O984" s="580"/>
      <c r="P984" s="582"/>
    </row>
    <row r="985" spans="1:16" ht="15">
      <c r="A985" s="594">
        <v>44929</v>
      </c>
      <c r="B985" s="584" t="s">
        <v>2015</v>
      </c>
      <c r="C985" s="584" t="s">
        <v>447</v>
      </c>
      <c r="D985" s="584" t="s">
        <v>2016</v>
      </c>
      <c r="E985" s="584" t="s">
        <v>100</v>
      </c>
      <c r="F985" s="584" t="s">
        <v>2017</v>
      </c>
      <c r="G985" s="585">
        <v>632.58000000000004</v>
      </c>
      <c r="H985" s="584" t="s">
        <v>1641</v>
      </c>
      <c r="I985" s="584" t="s">
        <v>100</v>
      </c>
      <c r="J985" s="585">
        <v>0</v>
      </c>
      <c r="K985" s="595">
        <v>44929</v>
      </c>
      <c r="L985" s="596">
        <v>1848265</v>
      </c>
      <c r="M985" s="584" t="s">
        <v>2018</v>
      </c>
      <c r="N985" s="584" t="s">
        <v>100</v>
      </c>
      <c r="O985" s="584" t="s">
        <v>1646</v>
      </c>
      <c r="P985" s="586" t="s">
        <v>100</v>
      </c>
    </row>
    <row r="986" spans="1:16" ht="15">
      <c r="A986" s="591">
        <v>44985</v>
      </c>
      <c r="B986" s="580" t="s">
        <v>2019</v>
      </c>
      <c r="C986" s="580" t="s">
        <v>443</v>
      </c>
      <c r="D986" s="580" t="s">
        <v>1660</v>
      </c>
      <c r="E986" s="580" t="s">
        <v>100</v>
      </c>
      <c r="F986" s="580" t="s">
        <v>2017</v>
      </c>
      <c r="G986" s="581">
        <v>2375</v>
      </c>
      <c r="H986" s="580" t="s">
        <v>1641</v>
      </c>
      <c r="I986" s="580" t="s">
        <v>100</v>
      </c>
      <c r="J986" s="581">
        <v>0</v>
      </c>
      <c r="K986" s="592">
        <v>44985</v>
      </c>
      <c r="L986" s="593">
        <v>1850589</v>
      </c>
      <c r="M986" s="580" t="s">
        <v>2020</v>
      </c>
      <c r="N986" s="580" t="s">
        <v>100</v>
      </c>
      <c r="O986" s="580" t="s">
        <v>1646</v>
      </c>
      <c r="P986" s="582" t="s">
        <v>100</v>
      </c>
    </row>
    <row r="987" spans="1:16" ht="15">
      <c r="A987" s="594">
        <v>44929</v>
      </c>
      <c r="B987" s="584" t="s">
        <v>2021</v>
      </c>
      <c r="C987" s="584" t="s">
        <v>443</v>
      </c>
      <c r="D987" s="584" t="s">
        <v>1660</v>
      </c>
      <c r="E987" s="584" t="s">
        <v>100</v>
      </c>
      <c r="F987" s="584" t="s">
        <v>2017</v>
      </c>
      <c r="G987" s="585">
        <v>6531.25</v>
      </c>
      <c r="H987" s="584" t="s">
        <v>1641</v>
      </c>
      <c r="I987" s="584" t="s">
        <v>100</v>
      </c>
      <c r="J987" s="585">
        <v>0</v>
      </c>
      <c r="K987" s="595">
        <v>44929</v>
      </c>
      <c r="L987" s="596">
        <v>1848261</v>
      </c>
      <c r="M987" s="584" t="s">
        <v>2022</v>
      </c>
      <c r="N987" s="584" t="s">
        <v>100</v>
      </c>
      <c r="O987" s="584" t="s">
        <v>1646</v>
      </c>
      <c r="P987" s="586" t="s">
        <v>100</v>
      </c>
    </row>
    <row r="988" spans="1:16">
      <c r="G988" s="1">
        <f>SUM(G985:G987)</f>
        <v>9538.83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C5B6-B457-491F-8E8F-30ED122CE97F}">
  <dimension ref="A1:F629"/>
  <sheetViews>
    <sheetView topLeftCell="A587" workbookViewId="0">
      <selection activeCell="C342" sqref="C342"/>
    </sheetView>
  </sheetViews>
  <sheetFormatPr baseColWidth="10" defaultColWidth="8.83203125" defaultRowHeight="14"/>
  <cols>
    <col min="1" max="1" width="6.1640625" bestFit="1" customWidth="1"/>
    <col min="2" max="2" width="33" bestFit="1" customWidth="1"/>
    <col min="3" max="3" width="11.83203125" bestFit="1" customWidth="1"/>
    <col min="4" max="4" width="14.5" bestFit="1" customWidth="1"/>
    <col min="5" max="5" width="8" bestFit="1" customWidth="1"/>
    <col min="6" max="6" width="12.83203125" bestFit="1" customWidth="1"/>
  </cols>
  <sheetData>
    <row r="1" spans="1:6">
      <c r="C1" s="10">
        <v>44926</v>
      </c>
    </row>
    <row r="2" spans="1:6" ht="15">
      <c r="A2" s="579" t="s">
        <v>154</v>
      </c>
      <c r="B2" s="580" t="s">
        <v>155</v>
      </c>
      <c r="C2" s="581">
        <v>0</v>
      </c>
      <c r="D2" s="580" t="s">
        <v>156</v>
      </c>
      <c r="E2" s="580" t="s">
        <v>1548</v>
      </c>
      <c r="F2" s="582" t="s">
        <v>100</v>
      </c>
    </row>
    <row r="3" spans="1:6" ht="15">
      <c r="A3" s="583" t="s">
        <v>158</v>
      </c>
      <c r="B3" s="584" t="s">
        <v>159</v>
      </c>
      <c r="C3" s="585">
        <v>0</v>
      </c>
      <c r="D3" s="584" t="s">
        <v>156</v>
      </c>
      <c r="E3" s="584" t="s">
        <v>1548</v>
      </c>
      <c r="F3" s="586" t="s">
        <v>100</v>
      </c>
    </row>
    <row r="4" spans="1:6" ht="15">
      <c r="A4" s="579" t="s">
        <v>160</v>
      </c>
      <c r="B4" s="580" t="s">
        <v>161</v>
      </c>
      <c r="C4" s="581">
        <v>-7938471.25</v>
      </c>
      <c r="D4" s="580" t="s">
        <v>156</v>
      </c>
      <c r="E4" s="580" t="s">
        <v>1549</v>
      </c>
      <c r="F4" s="582" t="s">
        <v>100</v>
      </c>
    </row>
    <row r="5" spans="1:6" ht="15">
      <c r="A5" s="583" t="s">
        <v>163</v>
      </c>
      <c r="B5" s="584" t="s">
        <v>164</v>
      </c>
      <c r="C5" s="585">
        <v>0</v>
      </c>
      <c r="D5" s="584" t="s">
        <v>156</v>
      </c>
      <c r="E5" s="584" t="s">
        <v>1549</v>
      </c>
      <c r="F5" s="586" t="s">
        <v>100</v>
      </c>
    </row>
    <row r="6" spans="1:6" ht="15">
      <c r="A6" s="579" t="s">
        <v>165</v>
      </c>
      <c r="B6" s="580" t="s">
        <v>166</v>
      </c>
      <c r="C6" s="581">
        <v>-50846.98</v>
      </c>
      <c r="D6" s="580" t="s">
        <v>156</v>
      </c>
      <c r="E6" s="580" t="s">
        <v>1549</v>
      </c>
      <c r="F6" s="582" t="s">
        <v>100</v>
      </c>
    </row>
    <row r="7" spans="1:6" ht="15">
      <c r="A7" s="583" t="s">
        <v>167</v>
      </c>
      <c r="B7" s="584" t="s">
        <v>168</v>
      </c>
      <c r="C7" s="585">
        <v>-7989318.2300000004</v>
      </c>
      <c r="D7" s="584" t="s">
        <v>156</v>
      </c>
      <c r="E7" s="584" t="s">
        <v>1550</v>
      </c>
      <c r="F7" s="586" t="s">
        <v>170</v>
      </c>
    </row>
    <row r="8" spans="1:6" ht="15">
      <c r="A8" s="579" t="s">
        <v>171</v>
      </c>
      <c r="B8" s="580" t="s">
        <v>172</v>
      </c>
      <c r="C8" s="581">
        <v>0</v>
      </c>
      <c r="D8" s="580" t="s">
        <v>156</v>
      </c>
      <c r="E8" s="580" t="s">
        <v>1548</v>
      </c>
      <c r="F8" s="582" t="s">
        <v>100</v>
      </c>
    </row>
    <row r="9" spans="1:6" ht="15">
      <c r="A9" s="583" t="s">
        <v>173</v>
      </c>
      <c r="B9" s="584" t="s">
        <v>174</v>
      </c>
      <c r="C9" s="585">
        <v>-7726156</v>
      </c>
      <c r="D9" s="584" t="s">
        <v>156</v>
      </c>
      <c r="E9" s="584" t="s">
        <v>1549</v>
      </c>
      <c r="F9" s="586" t="s">
        <v>100</v>
      </c>
    </row>
    <row r="10" spans="1:6" ht="15">
      <c r="A10" s="579" t="s">
        <v>175</v>
      </c>
      <c r="B10" s="580" t="s">
        <v>176</v>
      </c>
      <c r="C10" s="581">
        <v>-262083.9</v>
      </c>
      <c r="D10" s="580" t="s">
        <v>156</v>
      </c>
      <c r="E10" s="580" t="s">
        <v>1549</v>
      </c>
      <c r="F10" s="582" t="s">
        <v>100</v>
      </c>
    </row>
    <row r="11" spans="1:6" ht="15">
      <c r="A11" s="583" t="s">
        <v>177</v>
      </c>
      <c r="B11" s="584" t="s">
        <v>178</v>
      </c>
      <c r="C11" s="585">
        <v>-324011.3</v>
      </c>
      <c r="D11" s="584" t="s">
        <v>156</v>
      </c>
      <c r="E11" s="584" t="s">
        <v>1549</v>
      </c>
      <c r="F11" s="586" t="s">
        <v>100</v>
      </c>
    </row>
    <row r="12" spans="1:6" ht="15">
      <c r="A12" s="579" t="s">
        <v>179</v>
      </c>
      <c r="B12" s="580" t="s">
        <v>180</v>
      </c>
      <c r="C12" s="581">
        <v>298570</v>
      </c>
      <c r="D12" s="580" t="s">
        <v>156</v>
      </c>
      <c r="E12" s="580" t="s">
        <v>1549</v>
      </c>
      <c r="F12" s="582" t="s">
        <v>100</v>
      </c>
    </row>
    <row r="13" spans="1:6" ht="15">
      <c r="A13" s="583" t="s">
        <v>181</v>
      </c>
      <c r="B13" s="584" t="s">
        <v>182</v>
      </c>
      <c r="C13" s="585">
        <v>0</v>
      </c>
      <c r="D13" s="584" t="s">
        <v>156</v>
      </c>
      <c r="E13" s="584" t="s">
        <v>1549</v>
      </c>
      <c r="F13" s="586" t="s">
        <v>100</v>
      </c>
    </row>
    <row r="14" spans="1:6" ht="15">
      <c r="A14" s="579" t="s">
        <v>183</v>
      </c>
      <c r="B14" s="580" t="s">
        <v>184</v>
      </c>
      <c r="C14" s="581">
        <v>-373135</v>
      </c>
      <c r="D14" s="580" t="s">
        <v>156</v>
      </c>
      <c r="E14" s="580" t="s">
        <v>1549</v>
      </c>
      <c r="F14" s="582" t="s">
        <v>100</v>
      </c>
    </row>
    <row r="15" spans="1:6" ht="15">
      <c r="A15" s="583" t="s">
        <v>1551</v>
      </c>
      <c r="B15" s="584" t="s">
        <v>1552</v>
      </c>
      <c r="C15" s="585">
        <v>0</v>
      </c>
      <c r="D15" s="584" t="s">
        <v>156</v>
      </c>
      <c r="E15" s="584" t="s">
        <v>1549</v>
      </c>
      <c r="F15" s="586" t="s">
        <v>100</v>
      </c>
    </row>
    <row r="16" spans="1:6" ht="15">
      <c r="A16" s="579" t="s">
        <v>1553</v>
      </c>
      <c r="B16" s="580" t="s">
        <v>1554</v>
      </c>
      <c r="C16" s="581">
        <v>67290.759999999995</v>
      </c>
      <c r="D16" s="580" t="s">
        <v>156</v>
      </c>
      <c r="E16" s="580" t="s">
        <v>1549</v>
      </c>
      <c r="F16" s="582" t="s">
        <v>100</v>
      </c>
    </row>
    <row r="17" spans="1:6" ht="15">
      <c r="A17" s="583" t="s">
        <v>185</v>
      </c>
      <c r="B17" s="584" t="s">
        <v>186</v>
      </c>
      <c r="C17" s="585">
        <v>-8319525.4400000004</v>
      </c>
      <c r="D17" s="584" t="s">
        <v>156</v>
      </c>
      <c r="E17" s="584" t="s">
        <v>1550</v>
      </c>
      <c r="F17" s="586" t="s">
        <v>187</v>
      </c>
    </row>
    <row r="18" spans="1:6" ht="15">
      <c r="A18" s="579" t="s">
        <v>188</v>
      </c>
      <c r="B18" s="580" t="s">
        <v>189</v>
      </c>
      <c r="C18" s="581">
        <v>0</v>
      </c>
      <c r="D18" s="580" t="s">
        <v>156</v>
      </c>
      <c r="E18" s="580" t="s">
        <v>1548</v>
      </c>
      <c r="F18" s="582" t="s">
        <v>100</v>
      </c>
    </row>
    <row r="19" spans="1:6" ht="15">
      <c r="A19" s="583" t="s">
        <v>190</v>
      </c>
      <c r="B19" s="584" t="s">
        <v>191</v>
      </c>
      <c r="C19" s="585">
        <v>0</v>
      </c>
      <c r="D19" s="584" t="s">
        <v>156</v>
      </c>
      <c r="E19" s="584" t="s">
        <v>1548</v>
      </c>
      <c r="F19" s="586" t="s">
        <v>100</v>
      </c>
    </row>
    <row r="20" spans="1:6" ht="15">
      <c r="A20" s="579" t="s">
        <v>192</v>
      </c>
      <c r="B20" s="580" t="s">
        <v>193</v>
      </c>
      <c r="C20" s="581">
        <v>0</v>
      </c>
      <c r="D20" s="580" t="s">
        <v>156</v>
      </c>
      <c r="E20" s="580" t="s">
        <v>1549</v>
      </c>
      <c r="F20" s="582" t="s">
        <v>100</v>
      </c>
    </row>
    <row r="21" spans="1:6" ht="15">
      <c r="A21" s="583" t="s">
        <v>194</v>
      </c>
      <c r="B21" s="584" t="s">
        <v>195</v>
      </c>
      <c r="C21" s="585">
        <v>0</v>
      </c>
      <c r="D21" s="584" t="s">
        <v>156</v>
      </c>
      <c r="E21" s="584" t="s">
        <v>1550</v>
      </c>
      <c r="F21" s="586" t="s">
        <v>196</v>
      </c>
    </row>
    <row r="22" spans="1:6" ht="15">
      <c r="A22" s="579" t="s">
        <v>197</v>
      </c>
      <c r="B22" s="580" t="s">
        <v>198</v>
      </c>
      <c r="C22" s="581">
        <v>0</v>
      </c>
      <c r="D22" s="580" t="s">
        <v>156</v>
      </c>
      <c r="E22" s="580" t="s">
        <v>1548</v>
      </c>
      <c r="F22" s="582" t="s">
        <v>100</v>
      </c>
    </row>
    <row r="23" spans="1:6" ht="15">
      <c r="A23" s="583" t="s">
        <v>199</v>
      </c>
      <c r="B23" s="584" t="s">
        <v>200</v>
      </c>
      <c r="C23" s="585">
        <v>-937649.15</v>
      </c>
      <c r="D23" s="584" t="s">
        <v>156</v>
      </c>
      <c r="E23" s="584" t="s">
        <v>1549</v>
      </c>
      <c r="F23" s="586" t="s">
        <v>100</v>
      </c>
    </row>
    <row r="24" spans="1:6" ht="15">
      <c r="A24" s="579" t="s">
        <v>201</v>
      </c>
      <c r="B24" s="580" t="s">
        <v>202</v>
      </c>
      <c r="C24" s="581">
        <v>-26751.13</v>
      </c>
      <c r="D24" s="580" t="s">
        <v>156</v>
      </c>
      <c r="E24" s="580" t="s">
        <v>1549</v>
      </c>
      <c r="F24" s="582" t="s">
        <v>100</v>
      </c>
    </row>
    <row r="25" spans="1:6" ht="15">
      <c r="A25" s="583" t="s">
        <v>203</v>
      </c>
      <c r="B25" s="584" t="s">
        <v>204</v>
      </c>
      <c r="C25" s="585">
        <v>34421.06</v>
      </c>
      <c r="D25" s="584" t="s">
        <v>156</v>
      </c>
      <c r="E25" s="584" t="s">
        <v>1549</v>
      </c>
      <c r="F25" s="586" t="s">
        <v>100</v>
      </c>
    </row>
    <row r="26" spans="1:6" ht="15">
      <c r="A26" s="579" t="s">
        <v>205</v>
      </c>
      <c r="B26" s="580" t="s">
        <v>206</v>
      </c>
      <c r="C26" s="581">
        <v>20742.990000000002</v>
      </c>
      <c r="D26" s="580" t="s">
        <v>156</v>
      </c>
      <c r="E26" s="580" t="s">
        <v>1549</v>
      </c>
      <c r="F26" s="582" t="s">
        <v>100</v>
      </c>
    </row>
    <row r="27" spans="1:6" ht="15">
      <c r="A27" s="583" t="s">
        <v>207</v>
      </c>
      <c r="B27" s="584" t="s">
        <v>208</v>
      </c>
      <c r="C27" s="585">
        <v>290776.36</v>
      </c>
      <c r="D27" s="584" t="s">
        <v>156</v>
      </c>
      <c r="E27" s="584" t="s">
        <v>1549</v>
      </c>
      <c r="F27" s="586" t="s">
        <v>100</v>
      </c>
    </row>
    <row r="28" spans="1:6" ht="15">
      <c r="A28" s="579" t="s">
        <v>209</v>
      </c>
      <c r="B28" s="580" t="s">
        <v>210</v>
      </c>
      <c r="C28" s="581">
        <v>267327.34999999998</v>
      </c>
      <c r="D28" s="580" t="s">
        <v>156</v>
      </c>
      <c r="E28" s="580" t="s">
        <v>1549</v>
      </c>
      <c r="F28" s="582" t="s">
        <v>100</v>
      </c>
    </row>
    <row r="29" spans="1:6" ht="15">
      <c r="A29" s="583" t="s">
        <v>211</v>
      </c>
      <c r="B29" s="584" t="s">
        <v>212</v>
      </c>
      <c r="C29" s="585">
        <v>0</v>
      </c>
      <c r="D29" s="584" t="s">
        <v>156</v>
      </c>
      <c r="E29" s="584" t="s">
        <v>1549</v>
      </c>
      <c r="F29" s="586" t="s">
        <v>100</v>
      </c>
    </row>
    <row r="30" spans="1:6" ht="15">
      <c r="A30" s="579" t="s">
        <v>213</v>
      </c>
      <c r="B30" s="580" t="s">
        <v>214</v>
      </c>
      <c r="C30" s="581">
        <v>4810.8599999999997</v>
      </c>
      <c r="D30" s="580" t="s">
        <v>156</v>
      </c>
      <c r="E30" s="580" t="s">
        <v>1549</v>
      </c>
      <c r="F30" s="582" t="s">
        <v>100</v>
      </c>
    </row>
    <row r="31" spans="1:6" ht="15">
      <c r="A31" s="583" t="s">
        <v>215</v>
      </c>
      <c r="B31" s="584" t="s">
        <v>216</v>
      </c>
      <c r="C31" s="585">
        <v>5000</v>
      </c>
      <c r="D31" s="584" t="s">
        <v>156</v>
      </c>
      <c r="E31" s="584" t="s">
        <v>1549</v>
      </c>
      <c r="F31" s="586" t="s">
        <v>100</v>
      </c>
    </row>
    <row r="32" spans="1:6" ht="15">
      <c r="A32" s="579" t="s">
        <v>217</v>
      </c>
      <c r="B32" s="580" t="s">
        <v>218</v>
      </c>
      <c r="C32" s="581">
        <v>3174.94</v>
      </c>
      <c r="D32" s="580" t="s">
        <v>156</v>
      </c>
      <c r="E32" s="580" t="s">
        <v>1549</v>
      </c>
      <c r="F32" s="582" t="s">
        <v>100</v>
      </c>
    </row>
    <row r="33" spans="1:6" ht="15">
      <c r="A33" s="583" t="s">
        <v>219</v>
      </c>
      <c r="B33" s="584" t="s">
        <v>220</v>
      </c>
      <c r="C33" s="585">
        <v>19015.7</v>
      </c>
      <c r="D33" s="584" t="s">
        <v>156</v>
      </c>
      <c r="E33" s="584" t="s">
        <v>1549</v>
      </c>
      <c r="F33" s="586" t="s">
        <v>100</v>
      </c>
    </row>
    <row r="34" spans="1:6" ht="15">
      <c r="A34" s="579" t="s">
        <v>221</v>
      </c>
      <c r="B34" s="580" t="s">
        <v>222</v>
      </c>
      <c r="C34" s="581">
        <v>-319131.02</v>
      </c>
      <c r="D34" s="580" t="s">
        <v>156</v>
      </c>
      <c r="E34" s="580" t="s">
        <v>1550</v>
      </c>
      <c r="F34" s="582" t="s">
        <v>223</v>
      </c>
    </row>
    <row r="35" spans="1:6" ht="15">
      <c r="A35" s="583" t="s">
        <v>224</v>
      </c>
      <c r="B35" s="584" t="s">
        <v>225</v>
      </c>
      <c r="C35" s="585">
        <v>0</v>
      </c>
      <c r="D35" s="584" t="s">
        <v>156</v>
      </c>
      <c r="E35" s="584" t="s">
        <v>1548</v>
      </c>
      <c r="F35" s="586" t="s">
        <v>100</v>
      </c>
    </row>
    <row r="36" spans="1:6" ht="15">
      <c r="A36" s="579" t="s">
        <v>226</v>
      </c>
      <c r="B36" s="580" t="s">
        <v>227</v>
      </c>
      <c r="C36" s="581">
        <v>-2546700</v>
      </c>
      <c r="D36" s="580" t="s">
        <v>156</v>
      </c>
      <c r="E36" s="580" t="s">
        <v>1549</v>
      </c>
      <c r="F36" s="582" t="s">
        <v>100</v>
      </c>
    </row>
    <row r="37" spans="1:6" ht="15">
      <c r="A37" s="583" t="s">
        <v>228</v>
      </c>
      <c r="B37" s="584" t="s">
        <v>229</v>
      </c>
      <c r="C37" s="585">
        <v>146250</v>
      </c>
      <c r="D37" s="584" t="s">
        <v>156</v>
      </c>
      <c r="E37" s="584" t="s">
        <v>1549</v>
      </c>
      <c r="F37" s="586" t="s">
        <v>100</v>
      </c>
    </row>
    <row r="38" spans="1:6" ht="15">
      <c r="A38" s="579" t="s">
        <v>230</v>
      </c>
      <c r="B38" s="580" t="s">
        <v>1555</v>
      </c>
      <c r="C38" s="581">
        <v>30668.080000000002</v>
      </c>
      <c r="D38" s="580" t="s">
        <v>156</v>
      </c>
      <c r="E38" s="580" t="s">
        <v>1549</v>
      </c>
      <c r="F38" s="582" t="s">
        <v>100</v>
      </c>
    </row>
    <row r="39" spans="1:6" ht="15">
      <c r="A39" s="583" t="s">
        <v>232</v>
      </c>
      <c r="B39" s="584" t="s">
        <v>233</v>
      </c>
      <c r="C39" s="585">
        <v>251666.5</v>
      </c>
      <c r="D39" s="584" t="s">
        <v>156</v>
      </c>
      <c r="E39" s="584" t="s">
        <v>1549</v>
      </c>
      <c r="F39" s="586" t="s">
        <v>100</v>
      </c>
    </row>
    <row r="40" spans="1:6" ht="15">
      <c r="A40" s="579" t="s">
        <v>234</v>
      </c>
      <c r="B40" s="580" t="s">
        <v>235</v>
      </c>
      <c r="C40" s="581">
        <v>-15925.1</v>
      </c>
      <c r="D40" s="580" t="s">
        <v>156</v>
      </c>
      <c r="E40" s="580" t="s">
        <v>1549</v>
      </c>
      <c r="F40" s="582" t="s">
        <v>100</v>
      </c>
    </row>
    <row r="41" spans="1:6" ht="15">
      <c r="A41" s="583" t="s">
        <v>236</v>
      </c>
      <c r="B41" s="584" t="s">
        <v>237</v>
      </c>
      <c r="C41" s="585">
        <v>11500</v>
      </c>
      <c r="D41" s="584" t="s">
        <v>156</v>
      </c>
      <c r="E41" s="584" t="s">
        <v>1549</v>
      </c>
      <c r="F41" s="586" t="s">
        <v>100</v>
      </c>
    </row>
    <row r="42" spans="1:6" ht="15">
      <c r="A42" s="579" t="s">
        <v>238</v>
      </c>
      <c r="B42" s="580" t="s">
        <v>239</v>
      </c>
      <c r="C42" s="581">
        <v>2028833.52</v>
      </c>
      <c r="D42" s="580" t="s">
        <v>156</v>
      </c>
      <c r="E42" s="580" t="s">
        <v>1549</v>
      </c>
      <c r="F42" s="582" t="s">
        <v>100</v>
      </c>
    </row>
    <row r="43" spans="1:6" ht="15">
      <c r="A43" s="583" t="s">
        <v>240</v>
      </c>
      <c r="B43" s="584" t="s">
        <v>241</v>
      </c>
      <c r="C43" s="585">
        <v>-93707</v>
      </c>
      <c r="D43" s="584" t="s">
        <v>156</v>
      </c>
      <c r="E43" s="584" t="s">
        <v>1550</v>
      </c>
      <c r="F43" s="586" t="s">
        <v>242</v>
      </c>
    </row>
    <row r="44" spans="1:6" ht="15">
      <c r="A44" s="579" t="s">
        <v>243</v>
      </c>
      <c r="B44" s="580" t="s">
        <v>244</v>
      </c>
      <c r="C44" s="581">
        <v>0</v>
      </c>
      <c r="D44" s="580" t="s">
        <v>156</v>
      </c>
      <c r="E44" s="580" t="s">
        <v>1548</v>
      </c>
      <c r="F44" s="582" t="s">
        <v>100</v>
      </c>
    </row>
    <row r="45" spans="1:6" ht="15">
      <c r="A45" s="583" t="s">
        <v>245</v>
      </c>
      <c r="B45" s="584" t="s">
        <v>246</v>
      </c>
      <c r="C45" s="585">
        <v>-368179.49</v>
      </c>
      <c r="D45" s="584" t="s">
        <v>156</v>
      </c>
      <c r="E45" s="584" t="s">
        <v>1549</v>
      </c>
      <c r="F45" s="586" t="s">
        <v>100</v>
      </c>
    </row>
    <row r="46" spans="1:6" ht="15">
      <c r="A46" s="579" t="s">
        <v>247</v>
      </c>
      <c r="B46" s="580" t="s">
        <v>248</v>
      </c>
      <c r="C46" s="581">
        <v>-368179.49</v>
      </c>
      <c r="D46" s="580" t="s">
        <v>156</v>
      </c>
      <c r="E46" s="580" t="s">
        <v>1550</v>
      </c>
      <c r="F46" s="582" t="s">
        <v>249</v>
      </c>
    </row>
    <row r="47" spans="1:6" ht="15">
      <c r="A47" s="583" t="s">
        <v>250</v>
      </c>
      <c r="B47" s="584" t="s">
        <v>251</v>
      </c>
      <c r="C47" s="585">
        <v>-781017.51</v>
      </c>
      <c r="D47" s="584" t="s">
        <v>156</v>
      </c>
      <c r="E47" s="584" t="s">
        <v>1550</v>
      </c>
      <c r="F47" s="586" t="s">
        <v>252</v>
      </c>
    </row>
    <row r="48" spans="1:6" ht="15">
      <c r="A48" s="579" t="s">
        <v>253</v>
      </c>
      <c r="B48" s="580" t="s">
        <v>254</v>
      </c>
      <c r="C48" s="581">
        <v>0</v>
      </c>
      <c r="D48" s="580" t="s">
        <v>156</v>
      </c>
      <c r="E48" s="580" t="s">
        <v>1548</v>
      </c>
      <c r="F48" s="582" t="s">
        <v>100</v>
      </c>
    </row>
    <row r="49" spans="1:6" ht="15">
      <c r="A49" s="583" t="s">
        <v>255</v>
      </c>
      <c r="B49" s="584" t="s">
        <v>256</v>
      </c>
      <c r="C49" s="585">
        <v>0</v>
      </c>
      <c r="D49" s="584" t="s">
        <v>156</v>
      </c>
      <c r="E49" s="584" t="s">
        <v>1549</v>
      </c>
      <c r="F49" s="586" t="s">
        <v>100</v>
      </c>
    </row>
    <row r="50" spans="1:6" ht="15">
      <c r="A50" s="579" t="s">
        <v>257</v>
      </c>
      <c r="B50" s="580" t="s">
        <v>258</v>
      </c>
      <c r="C50" s="581">
        <v>0</v>
      </c>
      <c r="D50" s="580" t="s">
        <v>156</v>
      </c>
      <c r="E50" s="580" t="s">
        <v>1549</v>
      </c>
      <c r="F50" s="582" t="s">
        <v>100</v>
      </c>
    </row>
    <row r="51" spans="1:6" ht="15">
      <c r="A51" s="583" t="s">
        <v>259</v>
      </c>
      <c r="B51" s="584" t="s">
        <v>1556</v>
      </c>
      <c r="C51" s="585">
        <v>30429.18</v>
      </c>
      <c r="D51" s="584" t="s">
        <v>156</v>
      </c>
      <c r="E51" s="584" t="s">
        <v>1549</v>
      </c>
      <c r="F51" s="586" t="s">
        <v>100</v>
      </c>
    </row>
    <row r="52" spans="1:6" ht="15">
      <c r="A52" s="579" t="s">
        <v>261</v>
      </c>
      <c r="B52" s="580" t="s">
        <v>262</v>
      </c>
      <c r="C52" s="581">
        <v>0</v>
      </c>
      <c r="D52" s="580" t="s">
        <v>156</v>
      </c>
      <c r="E52" s="580" t="s">
        <v>1549</v>
      </c>
      <c r="F52" s="582" t="s">
        <v>100</v>
      </c>
    </row>
    <row r="53" spans="1:6" ht="15">
      <c r="A53" s="583" t="s">
        <v>263</v>
      </c>
      <c r="B53" s="584" t="s">
        <v>264</v>
      </c>
      <c r="C53" s="585">
        <v>-2316.56</v>
      </c>
      <c r="D53" s="584" t="s">
        <v>156</v>
      </c>
      <c r="E53" s="584" t="s">
        <v>1549</v>
      </c>
      <c r="F53" s="586" t="s">
        <v>100</v>
      </c>
    </row>
    <row r="54" spans="1:6" ht="15">
      <c r="A54" s="579" t="s">
        <v>265</v>
      </c>
      <c r="B54" s="580" t="s">
        <v>266</v>
      </c>
      <c r="C54" s="581">
        <v>45173.61</v>
      </c>
      <c r="D54" s="580" t="s">
        <v>156</v>
      </c>
      <c r="E54" s="580" t="s">
        <v>1549</v>
      </c>
      <c r="F54" s="582" t="s">
        <v>100</v>
      </c>
    </row>
    <row r="55" spans="1:6" ht="15">
      <c r="A55" s="583" t="s">
        <v>267</v>
      </c>
      <c r="B55" s="584" t="s">
        <v>268</v>
      </c>
      <c r="C55" s="585">
        <v>-30000</v>
      </c>
      <c r="D55" s="584" t="s">
        <v>156</v>
      </c>
      <c r="E55" s="584" t="s">
        <v>1549</v>
      </c>
      <c r="F55" s="586" t="s">
        <v>100</v>
      </c>
    </row>
    <row r="56" spans="1:6" ht="15">
      <c r="A56" s="579" t="s">
        <v>269</v>
      </c>
      <c r="B56" s="580" t="s">
        <v>270</v>
      </c>
      <c r="C56" s="581">
        <v>-13465.6</v>
      </c>
      <c r="D56" s="580" t="s">
        <v>156</v>
      </c>
      <c r="E56" s="580" t="s">
        <v>1549</v>
      </c>
      <c r="F56" s="582" t="s">
        <v>100</v>
      </c>
    </row>
    <row r="57" spans="1:6" ht="15">
      <c r="A57" s="583" t="s">
        <v>271</v>
      </c>
      <c r="B57" s="584" t="s">
        <v>272</v>
      </c>
      <c r="C57" s="585">
        <v>0</v>
      </c>
      <c r="D57" s="584" t="s">
        <v>156</v>
      </c>
      <c r="E57" s="584" t="s">
        <v>1549</v>
      </c>
      <c r="F57" s="586" t="s">
        <v>100</v>
      </c>
    </row>
    <row r="58" spans="1:6" ht="15">
      <c r="A58" s="579" t="s">
        <v>273</v>
      </c>
      <c r="B58" s="580" t="s">
        <v>274</v>
      </c>
      <c r="C58" s="581">
        <v>183.6</v>
      </c>
      <c r="D58" s="580" t="s">
        <v>156</v>
      </c>
      <c r="E58" s="580" t="s">
        <v>1549</v>
      </c>
      <c r="F58" s="582" t="s">
        <v>100</v>
      </c>
    </row>
    <row r="59" spans="1:6" ht="15">
      <c r="A59" s="583" t="s">
        <v>275</v>
      </c>
      <c r="B59" s="584" t="s">
        <v>254</v>
      </c>
      <c r="C59" s="585">
        <v>30004.23</v>
      </c>
      <c r="D59" s="584" t="s">
        <v>156</v>
      </c>
      <c r="E59" s="584" t="s">
        <v>1550</v>
      </c>
      <c r="F59" s="586" t="s">
        <v>276</v>
      </c>
    </row>
    <row r="60" spans="1:6" ht="15">
      <c r="A60" s="579" t="s">
        <v>277</v>
      </c>
      <c r="B60" s="580" t="s">
        <v>278</v>
      </c>
      <c r="C60" s="581">
        <v>-17059856.949999999</v>
      </c>
      <c r="D60" s="580" t="s">
        <v>156</v>
      </c>
      <c r="E60" s="580" t="s">
        <v>1550</v>
      </c>
      <c r="F60" s="582" t="s">
        <v>279</v>
      </c>
    </row>
    <row r="61" spans="1:6" ht="15">
      <c r="A61" s="583" t="s">
        <v>280</v>
      </c>
      <c r="B61" s="584" t="s">
        <v>281</v>
      </c>
      <c r="C61" s="585">
        <v>0</v>
      </c>
      <c r="D61" s="584" t="s">
        <v>156</v>
      </c>
      <c r="E61" s="584" t="s">
        <v>1548</v>
      </c>
      <c r="F61" s="586" t="s">
        <v>100</v>
      </c>
    </row>
    <row r="62" spans="1:6" ht="15">
      <c r="A62" s="579" t="s">
        <v>282</v>
      </c>
      <c r="B62" s="580" t="s">
        <v>281</v>
      </c>
      <c r="C62" s="581">
        <v>0</v>
      </c>
      <c r="D62" s="580" t="s">
        <v>156</v>
      </c>
      <c r="E62" s="580" t="s">
        <v>1548</v>
      </c>
      <c r="F62" s="582" t="s">
        <v>100</v>
      </c>
    </row>
    <row r="63" spans="1:6" ht="15">
      <c r="A63" s="583" t="s">
        <v>283</v>
      </c>
      <c r="B63" s="584" t="s">
        <v>284</v>
      </c>
      <c r="C63" s="585">
        <v>0</v>
      </c>
      <c r="D63" s="584" t="s">
        <v>156</v>
      </c>
      <c r="E63" s="584" t="s">
        <v>1548</v>
      </c>
      <c r="F63" s="586" t="s">
        <v>100</v>
      </c>
    </row>
    <row r="64" spans="1:6" ht="15">
      <c r="A64" s="579" t="s">
        <v>285</v>
      </c>
      <c r="B64" s="580" t="s">
        <v>286</v>
      </c>
      <c r="C64" s="581">
        <v>0</v>
      </c>
      <c r="D64" s="580" t="s">
        <v>156</v>
      </c>
      <c r="E64" s="580" t="s">
        <v>1548</v>
      </c>
      <c r="F64" s="582" t="s">
        <v>100</v>
      </c>
    </row>
    <row r="65" spans="1:6" ht="15">
      <c r="A65" s="583" t="s">
        <v>287</v>
      </c>
      <c r="B65" s="584" t="s">
        <v>288</v>
      </c>
      <c r="C65" s="585">
        <v>9526603.2899999991</v>
      </c>
      <c r="D65" s="584" t="s">
        <v>156</v>
      </c>
      <c r="E65" s="584" t="s">
        <v>1549</v>
      </c>
      <c r="F65" s="586" t="s">
        <v>100</v>
      </c>
    </row>
    <row r="66" spans="1:6" ht="15">
      <c r="A66" s="579" t="s">
        <v>289</v>
      </c>
      <c r="B66" s="580" t="s">
        <v>1557</v>
      </c>
      <c r="C66" s="581">
        <v>0</v>
      </c>
      <c r="D66" s="580" t="s">
        <v>156</v>
      </c>
      <c r="E66" s="580" t="s">
        <v>1549</v>
      </c>
      <c r="F66" s="582" t="s">
        <v>100</v>
      </c>
    </row>
    <row r="67" spans="1:6" ht="15">
      <c r="A67" s="583" t="s">
        <v>291</v>
      </c>
      <c r="B67" s="584" t="s">
        <v>292</v>
      </c>
      <c r="C67" s="585">
        <v>0</v>
      </c>
      <c r="D67" s="584" t="s">
        <v>156</v>
      </c>
      <c r="E67" s="584" t="s">
        <v>1549</v>
      </c>
      <c r="F67" s="586" t="s">
        <v>100</v>
      </c>
    </row>
    <row r="68" spans="1:6" ht="15">
      <c r="A68" s="579" t="s">
        <v>293</v>
      </c>
      <c r="B68" s="580" t="s">
        <v>294</v>
      </c>
      <c r="C68" s="581">
        <v>-446228.65</v>
      </c>
      <c r="D68" s="580" t="s">
        <v>156</v>
      </c>
      <c r="E68" s="580" t="s">
        <v>1549</v>
      </c>
      <c r="F68" s="582" t="s">
        <v>100</v>
      </c>
    </row>
    <row r="69" spans="1:6" ht="15">
      <c r="A69" s="583" t="s">
        <v>295</v>
      </c>
      <c r="B69" s="584" t="s">
        <v>296</v>
      </c>
      <c r="C69" s="585">
        <v>534745.9</v>
      </c>
      <c r="D69" s="584" t="s">
        <v>156</v>
      </c>
      <c r="E69" s="584" t="s">
        <v>1549</v>
      </c>
      <c r="F69" s="586" t="s">
        <v>100</v>
      </c>
    </row>
    <row r="70" spans="1:6" ht="15">
      <c r="A70" s="579" t="s">
        <v>297</v>
      </c>
      <c r="B70" s="580" t="s">
        <v>298</v>
      </c>
      <c r="C70" s="581">
        <v>1071504.6000000001</v>
      </c>
      <c r="D70" s="580" t="s">
        <v>156</v>
      </c>
      <c r="E70" s="580" t="s">
        <v>1549</v>
      </c>
      <c r="F70" s="582" t="s">
        <v>100</v>
      </c>
    </row>
    <row r="71" spans="1:6" ht="15">
      <c r="A71" s="583" t="s">
        <v>299</v>
      </c>
      <c r="B71" s="584" t="s">
        <v>300</v>
      </c>
      <c r="C71" s="585">
        <v>148751.64000000001</v>
      </c>
      <c r="D71" s="584" t="s">
        <v>156</v>
      </c>
      <c r="E71" s="584" t="s">
        <v>1549</v>
      </c>
      <c r="F71" s="586" t="s">
        <v>100</v>
      </c>
    </row>
    <row r="72" spans="1:6" ht="15">
      <c r="A72" s="579" t="s">
        <v>301</v>
      </c>
      <c r="B72" s="580" t="s">
        <v>302</v>
      </c>
      <c r="C72" s="581">
        <v>58640.45</v>
      </c>
      <c r="D72" s="580" t="s">
        <v>156</v>
      </c>
      <c r="E72" s="580" t="s">
        <v>1549</v>
      </c>
      <c r="F72" s="582" t="s">
        <v>100</v>
      </c>
    </row>
    <row r="73" spans="1:6" ht="15">
      <c r="A73" s="583" t="s">
        <v>303</v>
      </c>
      <c r="B73" s="584" t="s">
        <v>304</v>
      </c>
      <c r="C73" s="585">
        <v>-1674931.73</v>
      </c>
      <c r="D73" s="584" t="s">
        <v>156</v>
      </c>
      <c r="E73" s="584" t="s">
        <v>1549</v>
      </c>
      <c r="F73" s="586" t="s">
        <v>100</v>
      </c>
    </row>
    <row r="74" spans="1:6" ht="15">
      <c r="A74" s="579" t="s">
        <v>305</v>
      </c>
      <c r="B74" s="580" t="s">
        <v>306</v>
      </c>
      <c r="C74" s="581">
        <v>76588.23</v>
      </c>
      <c r="D74" s="580" t="s">
        <v>156</v>
      </c>
      <c r="E74" s="580" t="s">
        <v>1549</v>
      </c>
      <c r="F74" s="582" t="s">
        <v>100</v>
      </c>
    </row>
    <row r="75" spans="1:6" ht="15">
      <c r="A75" s="583" t="s">
        <v>307</v>
      </c>
      <c r="B75" s="584" t="s">
        <v>308</v>
      </c>
      <c r="C75" s="585">
        <v>-5000</v>
      </c>
      <c r="D75" s="584" t="s">
        <v>156</v>
      </c>
      <c r="E75" s="584" t="s">
        <v>1549</v>
      </c>
      <c r="F75" s="586" t="s">
        <v>100</v>
      </c>
    </row>
    <row r="76" spans="1:6" ht="15">
      <c r="A76" s="579" t="s">
        <v>309</v>
      </c>
      <c r="B76" s="580" t="s">
        <v>1558</v>
      </c>
      <c r="C76" s="581">
        <v>84820.12</v>
      </c>
      <c r="D76" s="580" t="s">
        <v>156</v>
      </c>
      <c r="E76" s="580" t="s">
        <v>1549</v>
      </c>
      <c r="F76" s="582" t="s">
        <v>100</v>
      </c>
    </row>
    <row r="77" spans="1:6" ht="15">
      <c r="A77" s="583" t="s">
        <v>311</v>
      </c>
      <c r="B77" s="584" t="s">
        <v>312</v>
      </c>
      <c r="C77" s="585">
        <v>9375493.8499999996</v>
      </c>
      <c r="D77" s="584" t="s">
        <v>156</v>
      </c>
      <c r="E77" s="584" t="s">
        <v>1550</v>
      </c>
      <c r="F77" s="586" t="s">
        <v>313</v>
      </c>
    </row>
    <row r="78" spans="1:6" ht="15">
      <c r="A78" s="579" t="s">
        <v>314</v>
      </c>
      <c r="B78" s="580" t="s">
        <v>315</v>
      </c>
      <c r="C78" s="581">
        <v>0</v>
      </c>
      <c r="D78" s="580" t="s">
        <v>156</v>
      </c>
      <c r="E78" s="580" t="s">
        <v>1548</v>
      </c>
      <c r="F78" s="582" t="s">
        <v>100</v>
      </c>
    </row>
    <row r="79" spans="1:6" ht="15">
      <c r="A79" s="583" t="s">
        <v>316</v>
      </c>
      <c r="B79" s="584" t="s">
        <v>317</v>
      </c>
      <c r="C79" s="585">
        <v>369231.33</v>
      </c>
      <c r="D79" s="584" t="s">
        <v>156</v>
      </c>
      <c r="E79" s="584" t="s">
        <v>1549</v>
      </c>
      <c r="F79" s="586" t="s">
        <v>100</v>
      </c>
    </row>
    <row r="80" spans="1:6" ht="15">
      <c r="A80" s="579" t="s">
        <v>1559</v>
      </c>
      <c r="B80" s="580" t="s">
        <v>1560</v>
      </c>
      <c r="C80" s="581">
        <v>234</v>
      </c>
      <c r="D80" s="580" t="s">
        <v>156</v>
      </c>
      <c r="E80" s="580" t="s">
        <v>1549</v>
      </c>
      <c r="F80" s="582" t="s">
        <v>100</v>
      </c>
    </row>
    <row r="81" spans="1:6" ht="15">
      <c r="A81" s="583" t="s">
        <v>318</v>
      </c>
      <c r="B81" s="584" t="s">
        <v>319</v>
      </c>
      <c r="C81" s="585">
        <v>0</v>
      </c>
      <c r="D81" s="584" t="s">
        <v>156</v>
      </c>
      <c r="E81" s="584" t="s">
        <v>1549</v>
      </c>
      <c r="F81" s="586" t="s">
        <v>100</v>
      </c>
    </row>
    <row r="82" spans="1:6" ht="15">
      <c r="A82" s="579" t="s">
        <v>320</v>
      </c>
      <c r="B82" s="580" t="s">
        <v>1561</v>
      </c>
      <c r="C82" s="581">
        <v>173992.19</v>
      </c>
      <c r="D82" s="580" t="s">
        <v>156</v>
      </c>
      <c r="E82" s="580" t="s">
        <v>1549</v>
      </c>
      <c r="F82" s="582" t="s">
        <v>100</v>
      </c>
    </row>
    <row r="83" spans="1:6" ht="15">
      <c r="A83" s="583" t="s">
        <v>322</v>
      </c>
      <c r="B83" s="584" t="s">
        <v>1562</v>
      </c>
      <c r="C83" s="585">
        <v>37440.269999999997</v>
      </c>
      <c r="D83" s="584" t="s">
        <v>156</v>
      </c>
      <c r="E83" s="584" t="s">
        <v>1549</v>
      </c>
      <c r="F83" s="586" t="s">
        <v>100</v>
      </c>
    </row>
    <row r="84" spans="1:6" ht="15">
      <c r="A84" s="579" t="s">
        <v>324</v>
      </c>
      <c r="B84" s="580" t="s">
        <v>325</v>
      </c>
      <c r="C84" s="581">
        <v>24486.77</v>
      </c>
      <c r="D84" s="580" t="s">
        <v>156</v>
      </c>
      <c r="E84" s="580" t="s">
        <v>1549</v>
      </c>
      <c r="F84" s="582" t="s">
        <v>100</v>
      </c>
    </row>
    <row r="85" spans="1:6" ht="15">
      <c r="A85" s="583" t="s">
        <v>328</v>
      </c>
      <c r="B85" s="584" t="s">
        <v>329</v>
      </c>
      <c r="C85" s="585">
        <v>605384.56000000006</v>
      </c>
      <c r="D85" s="584" t="s">
        <v>156</v>
      </c>
      <c r="E85" s="584" t="s">
        <v>1550</v>
      </c>
      <c r="F85" s="586" t="s">
        <v>330</v>
      </c>
    </row>
    <row r="86" spans="1:6" ht="15">
      <c r="A86" s="579" t="s">
        <v>331</v>
      </c>
      <c r="B86" s="580" t="s">
        <v>332</v>
      </c>
      <c r="C86" s="581">
        <v>0</v>
      </c>
      <c r="D86" s="580" t="s">
        <v>156</v>
      </c>
      <c r="E86" s="580" t="s">
        <v>1548</v>
      </c>
      <c r="F86" s="582" t="s">
        <v>100</v>
      </c>
    </row>
    <row r="87" spans="1:6" ht="15">
      <c r="A87" s="583" t="s">
        <v>333</v>
      </c>
      <c r="B87" s="584" t="s">
        <v>334</v>
      </c>
      <c r="C87" s="585">
        <v>171184.87</v>
      </c>
      <c r="D87" s="584" t="s">
        <v>156</v>
      </c>
      <c r="E87" s="584" t="s">
        <v>1549</v>
      </c>
      <c r="F87" s="586" t="s">
        <v>100</v>
      </c>
    </row>
    <row r="88" spans="1:6" ht="15">
      <c r="A88" s="579" t="s">
        <v>335</v>
      </c>
      <c r="B88" s="580" t="s">
        <v>336</v>
      </c>
      <c r="C88" s="581">
        <v>132714.85999999999</v>
      </c>
      <c r="D88" s="580" t="s">
        <v>156</v>
      </c>
      <c r="E88" s="580" t="s">
        <v>1549</v>
      </c>
      <c r="F88" s="582" t="s">
        <v>100</v>
      </c>
    </row>
    <row r="89" spans="1:6" ht="15">
      <c r="A89" s="583" t="s">
        <v>337</v>
      </c>
      <c r="B89" s="584" t="s">
        <v>338</v>
      </c>
      <c r="C89" s="585">
        <v>303899.73</v>
      </c>
      <c r="D89" s="584" t="s">
        <v>156</v>
      </c>
      <c r="E89" s="584" t="s">
        <v>1550</v>
      </c>
      <c r="F89" s="586" t="s">
        <v>339</v>
      </c>
    </row>
    <row r="90" spans="1:6" ht="15">
      <c r="A90" s="579" t="s">
        <v>340</v>
      </c>
      <c r="B90" s="580" t="s">
        <v>341</v>
      </c>
      <c r="C90" s="581">
        <v>10284778.140000001</v>
      </c>
      <c r="D90" s="580" t="s">
        <v>156</v>
      </c>
      <c r="E90" s="580" t="s">
        <v>1550</v>
      </c>
      <c r="F90" s="582" t="s">
        <v>342</v>
      </c>
    </row>
    <row r="91" spans="1:6" ht="15">
      <c r="A91" s="583" t="s">
        <v>343</v>
      </c>
      <c r="B91" s="584" t="s">
        <v>344</v>
      </c>
      <c r="C91" s="585">
        <v>0</v>
      </c>
      <c r="D91" s="584" t="s">
        <v>156</v>
      </c>
      <c r="E91" s="584" t="s">
        <v>1548</v>
      </c>
      <c r="F91" s="586" t="s">
        <v>100</v>
      </c>
    </row>
    <row r="92" spans="1:6" ht="15">
      <c r="A92" s="579" t="s">
        <v>345</v>
      </c>
      <c r="B92" s="580" t="s">
        <v>346</v>
      </c>
      <c r="C92" s="581">
        <v>2911.41</v>
      </c>
      <c r="D92" s="580" t="s">
        <v>156</v>
      </c>
      <c r="E92" s="580" t="s">
        <v>1549</v>
      </c>
      <c r="F92" s="582" t="s">
        <v>100</v>
      </c>
    </row>
    <row r="93" spans="1:6" ht="15">
      <c r="A93" s="583" t="s">
        <v>347</v>
      </c>
      <c r="B93" s="584" t="s">
        <v>348</v>
      </c>
      <c r="C93" s="585">
        <v>209939.09</v>
      </c>
      <c r="D93" s="584" t="s">
        <v>156</v>
      </c>
      <c r="E93" s="584" t="s">
        <v>1549</v>
      </c>
      <c r="F93" s="586" t="s">
        <v>100</v>
      </c>
    </row>
    <row r="94" spans="1:6" ht="15">
      <c r="A94" s="579" t="s">
        <v>349</v>
      </c>
      <c r="B94" s="580" t="s">
        <v>350</v>
      </c>
      <c r="C94" s="581">
        <v>0</v>
      </c>
      <c r="D94" s="580" t="s">
        <v>156</v>
      </c>
      <c r="E94" s="580" t="s">
        <v>1549</v>
      </c>
      <c r="F94" s="582" t="s">
        <v>100</v>
      </c>
    </row>
    <row r="95" spans="1:6" ht="15">
      <c r="A95" s="583" t="s">
        <v>351</v>
      </c>
      <c r="B95" s="584" t="s">
        <v>352</v>
      </c>
      <c r="C95" s="585">
        <v>0</v>
      </c>
      <c r="D95" s="584" t="s">
        <v>156</v>
      </c>
      <c r="E95" s="584" t="s">
        <v>1549</v>
      </c>
      <c r="F95" s="586" t="s">
        <v>100</v>
      </c>
    </row>
    <row r="96" spans="1:6" ht="15">
      <c r="A96" s="579" t="s">
        <v>353</v>
      </c>
      <c r="B96" s="580" t="s">
        <v>1527</v>
      </c>
      <c r="C96" s="581">
        <v>1099760</v>
      </c>
      <c r="D96" s="580" t="s">
        <v>156</v>
      </c>
      <c r="E96" s="580" t="s">
        <v>1549</v>
      </c>
      <c r="F96" s="582" t="s">
        <v>100</v>
      </c>
    </row>
    <row r="97" spans="1:6" ht="15">
      <c r="A97" s="583" t="s">
        <v>355</v>
      </c>
      <c r="B97" s="584" t="s">
        <v>1563</v>
      </c>
      <c r="C97" s="585">
        <v>2661.65</v>
      </c>
      <c r="D97" s="584" t="s">
        <v>156</v>
      </c>
      <c r="E97" s="584" t="s">
        <v>1549</v>
      </c>
      <c r="F97" s="586" t="s">
        <v>100</v>
      </c>
    </row>
    <row r="98" spans="1:6" ht="15">
      <c r="A98" s="579" t="s">
        <v>357</v>
      </c>
      <c r="B98" s="580" t="s">
        <v>1564</v>
      </c>
      <c r="C98" s="581">
        <v>0</v>
      </c>
      <c r="D98" s="580" t="s">
        <v>156</v>
      </c>
      <c r="E98" s="580" t="s">
        <v>1549</v>
      </c>
      <c r="F98" s="582" t="s">
        <v>100</v>
      </c>
    </row>
    <row r="99" spans="1:6" ht="15">
      <c r="A99" s="583" t="s">
        <v>359</v>
      </c>
      <c r="B99" s="584" t="s">
        <v>360</v>
      </c>
      <c r="C99" s="585">
        <v>10646.65</v>
      </c>
      <c r="D99" s="584" t="s">
        <v>156</v>
      </c>
      <c r="E99" s="584" t="s">
        <v>1549</v>
      </c>
      <c r="F99" s="586" t="s">
        <v>100</v>
      </c>
    </row>
    <row r="100" spans="1:6" ht="15">
      <c r="A100" s="579" t="s">
        <v>361</v>
      </c>
      <c r="B100" s="580" t="s">
        <v>362</v>
      </c>
      <c r="C100" s="581">
        <v>0</v>
      </c>
      <c r="D100" s="580" t="s">
        <v>156</v>
      </c>
      <c r="E100" s="580" t="s">
        <v>1549</v>
      </c>
      <c r="F100" s="582" t="s">
        <v>100</v>
      </c>
    </row>
    <row r="101" spans="1:6" ht="15">
      <c r="A101" s="583" t="s">
        <v>363</v>
      </c>
      <c r="B101" s="584" t="s">
        <v>364</v>
      </c>
      <c r="C101" s="585">
        <v>0</v>
      </c>
      <c r="D101" s="584" t="s">
        <v>156</v>
      </c>
      <c r="E101" s="584" t="s">
        <v>1549</v>
      </c>
      <c r="F101" s="586" t="s">
        <v>100</v>
      </c>
    </row>
    <row r="102" spans="1:6" ht="15">
      <c r="A102" s="579" t="s">
        <v>365</v>
      </c>
      <c r="B102" s="580" t="s">
        <v>1565</v>
      </c>
      <c r="C102" s="581">
        <v>0</v>
      </c>
      <c r="D102" s="580" t="s">
        <v>156</v>
      </c>
      <c r="E102" s="580" t="s">
        <v>1549</v>
      </c>
      <c r="F102" s="582" t="s">
        <v>100</v>
      </c>
    </row>
    <row r="103" spans="1:6" ht="15">
      <c r="A103" s="583" t="s">
        <v>367</v>
      </c>
      <c r="B103" s="584" t="s">
        <v>368</v>
      </c>
      <c r="C103" s="585">
        <v>1325918.8</v>
      </c>
      <c r="D103" s="584" t="s">
        <v>156</v>
      </c>
      <c r="E103" s="584" t="s">
        <v>1550</v>
      </c>
      <c r="F103" s="586" t="s">
        <v>369</v>
      </c>
    </row>
    <row r="104" spans="1:6" ht="15">
      <c r="A104" s="579" t="s">
        <v>370</v>
      </c>
      <c r="B104" s="580" t="s">
        <v>371</v>
      </c>
      <c r="C104" s="581">
        <v>0</v>
      </c>
      <c r="D104" s="580" t="s">
        <v>156</v>
      </c>
      <c r="E104" s="580" t="s">
        <v>1548</v>
      </c>
      <c r="F104" s="582" t="s">
        <v>100</v>
      </c>
    </row>
    <row r="105" spans="1:6" ht="15">
      <c r="A105" s="583" t="s">
        <v>372</v>
      </c>
      <c r="B105" s="584" t="s">
        <v>373</v>
      </c>
      <c r="C105" s="585">
        <v>0</v>
      </c>
      <c r="D105" s="584" t="s">
        <v>156</v>
      </c>
      <c r="E105" s="584" t="s">
        <v>1548</v>
      </c>
      <c r="F105" s="586" t="s">
        <v>100</v>
      </c>
    </row>
    <row r="106" spans="1:6" ht="15">
      <c r="A106" s="579" t="s">
        <v>374</v>
      </c>
      <c r="B106" s="580" t="s">
        <v>375</v>
      </c>
      <c r="C106" s="581">
        <v>617211.93000000005</v>
      </c>
      <c r="D106" s="580" t="s">
        <v>156</v>
      </c>
      <c r="E106" s="580" t="s">
        <v>1549</v>
      </c>
      <c r="F106" s="582" t="s">
        <v>100</v>
      </c>
    </row>
    <row r="107" spans="1:6" ht="15">
      <c r="A107" s="583" t="s">
        <v>376</v>
      </c>
      <c r="B107" s="584" t="s">
        <v>377</v>
      </c>
      <c r="C107" s="585">
        <v>0</v>
      </c>
      <c r="D107" s="584" t="s">
        <v>156</v>
      </c>
      <c r="E107" s="584" t="s">
        <v>1549</v>
      </c>
      <c r="F107" s="586" t="s">
        <v>100</v>
      </c>
    </row>
    <row r="108" spans="1:6" ht="15">
      <c r="A108" s="579" t="s">
        <v>378</v>
      </c>
      <c r="B108" s="580" t="s">
        <v>379</v>
      </c>
      <c r="C108" s="581">
        <v>617211.93000000005</v>
      </c>
      <c r="D108" s="580" t="s">
        <v>156</v>
      </c>
      <c r="E108" s="580" t="s">
        <v>1550</v>
      </c>
      <c r="F108" s="582" t="s">
        <v>380</v>
      </c>
    </row>
    <row r="109" spans="1:6" ht="15">
      <c r="A109" s="583" t="s">
        <v>381</v>
      </c>
      <c r="B109" s="584" t="s">
        <v>382</v>
      </c>
      <c r="C109" s="585">
        <v>0</v>
      </c>
      <c r="D109" s="584" t="s">
        <v>156</v>
      </c>
      <c r="E109" s="584" t="s">
        <v>1548</v>
      </c>
      <c r="F109" s="586" t="s">
        <v>100</v>
      </c>
    </row>
    <row r="110" spans="1:6" ht="15">
      <c r="A110" s="579" t="s">
        <v>383</v>
      </c>
      <c r="B110" s="580" t="s">
        <v>384</v>
      </c>
      <c r="C110" s="581">
        <v>5546</v>
      </c>
      <c r="D110" s="580" t="s">
        <v>156</v>
      </c>
      <c r="E110" s="580" t="s">
        <v>1549</v>
      </c>
      <c r="F110" s="582" t="s">
        <v>100</v>
      </c>
    </row>
    <row r="111" spans="1:6" ht="15">
      <c r="A111" s="583" t="s">
        <v>385</v>
      </c>
      <c r="B111" s="584" t="s">
        <v>386</v>
      </c>
      <c r="C111" s="585">
        <v>105111.02</v>
      </c>
      <c r="D111" s="584" t="s">
        <v>156</v>
      </c>
      <c r="E111" s="584" t="s">
        <v>1549</v>
      </c>
      <c r="F111" s="586" t="s">
        <v>100</v>
      </c>
    </row>
    <row r="112" spans="1:6" ht="15">
      <c r="A112" s="579" t="s">
        <v>389</v>
      </c>
      <c r="B112" s="580" t="s">
        <v>390</v>
      </c>
      <c r="C112" s="581">
        <v>14437.95</v>
      </c>
      <c r="D112" s="580" t="s">
        <v>156</v>
      </c>
      <c r="E112" s="580" t="s">
        <v>1549</v>
      </c>
      <c r="F112" s="582" t="s">
        <v>100</v>
      </c>
    </row>
    <row r="113" spans="1:6" ht="15">
      <c r="A113" s="583" t="s">
        <v>391</v>
      </c>
      <c r="B113" s="584" t="s">
        <v>392</v>
      </c>
      <c r="C113" s="585">
        <v>0</v>
      </c>
      <c r="D113" s="584" t="s">
        <v>156</v>
      </c>
      <c r="E113" s="584" t="s">
        <v>1549</v>
      </c>
      <c r="F113" s="586" t="s">
        <v>100</v>
      </c>
    </row>
    <row r="114" spans="1:6" ht="15">
      <c r="A114" s="579" t="s">
        <v>393</v>
      </c>
      <c r="B114" s="580" t="s">
        <v>1566</v>
      </c>
      <c r="C114" s="581">
        <v>0</v>
      </c>
      <c r="D114" s="580" t="s">
        <v>156</v>
      </c>
      <c r="E114" s="580" t="s">
        <v>1549</v>
      </c>
      <c r="F114" s="582" t="s">
        <v>100</v>
      </c>
    </row>
    <row r="115" spans="1:6" ht="15">
      <c r="A115" s="583" t="s">
        <v>395</v>
      </c>
      <c r="B115" s="584" t="s">
        <v>1567</v>
      </c>
      <c r="C115" s="585">
        <v>7956</v>
      </c>
      <c r="D115" s="584" t="s">
        <v>156</v>
      </c>
      <c r="E115" s="584" t="s">
        <v>1549</v>
      </c>
      <c r="F115" s="586" t="s">
        <v>100</v>
      </c>
    </row>
    <row r="116" spans="1:6" ht="15">
      <c r="A116" s="579" t="s">
        <v>397</v>
      </c>
      <c r="B116" s="580" t="s">
        <v>1568</v>
      </c>
      <c r="C116" s="581">
        <v>66345.850000000006</v>
      </c>
      <c r="D116" s="580" t="s">
        <v>156</v>
      </c>
      <c r="E116" s="580" t="s">
        <v>1549</v>
      </c>
      <c r="F116" s="582" t="s">
        <v>100</v>
      </c>
    </row>
    <row r="117" spans="1:6" ht="15">
      <c r="A117" s="583" t="s">
        <v>399</v>
      </c>
      <c r="B117" s="584" t="s">
        <v>400</v>
      </c>
      <c r="C117" s="585">
        <v>-66276.429999999993</v>
      </c>
      <c r="D117" s="584" t="s">
        <v>156</v>
      </c>
      <c r="E117" s="584" t="s">
        <v>1549</v>
      </c>
      <c r="F117" s="586" t="s">
        <v>100</v>
      </c>
    </row>
    <row r="118" spans="1:6" ht="15">
      <c r="A118" s="579" t="s">
        <v>401</v>
      </c>
      <c r="B118" s="580" t="s">
        <v>402</v>
      </c>
      <c r="C118" s="581">
        <v>-948.25</v>
      </c>
      <c r="D118" s="580" t="s">
        <v>156</v>
      </c>
      <c r="E118" s="580" t="s">
        <v>1549</v>
      </c>
      <c r="F118" s="582" t="s">
        <v>100</v>
      </c>
    </row>
    <row r="119" spans="1:6" ht="15">
      <c r="A119" s="583" t="s">
        <v>403</v>
      </c>
      <c r="B119" s="584" t="s">
        <v>1569</v>
      </c>
      <c r="C119" s="585">
        <v>6522.04</v>
      </c>
      <c r="D119" s="584" t="s">
        <v>156</v>
      </c>
      <c r="E119" s="584" t="s">
        <v>1549</v>
      </c>
      <c r="F119" s="586" t="s">
        <v>100</v>
      </c>
    </row>
    <row r="120" spans="1:6" ht="15">
      <c r="A120" s="579" t="s">
        <v>405</v>
      </c>
      <c r="B120" s="580" t="s">
        <v>1570</v>
      </c>
      <c r="C120" s="581">
        <v>0</v>
      </c>
      <c r="D120" s="580" t="s">
        <v>156</v>
      </c>
      <c r="E120" s="580" t="s">
        <v>1549</v>
      </c>
      <c r="F120" s="582" t="s">
        <v>100</v>
      </c>
    </row>
    <row r="121" spans="1:6" ht="15">
      <c r="A121" s="583" t="s">
        <v>407</v>
      </c>
      <c r="B121" s="584" t="s">
        <v>220</v>
      </c>
      <c r="C121" s="585">
        <v>5456.65</v>
      </c>
      <c r="D121" s="584" t="s">
        <v>156</v>
      </c>
      <c r="E121" s="584" t="s">
        <v>1549</v>
      </c>
      <c r="F121" s="586" t="s">
        <v>100</v>
      </c>
    </row>
    <row r="122" spans="1:6" ht="15">
      <c r="A122" s="579" t="s">
        <v>1571</v>
      </c>
      <c r="B122" s="580" t="s">
        <v>388</v>
      </c>
      <c r="C122" s="581">
        <v>-13474.08</v>
      </c>
      <c r="D122" s="580" t="s">
        <v>156</v>
      </c>
      <c r="E122" s="580" t="s">
        <v>1549</v>
      </c>
      <c r="F122" s="582" t="s">
        <v>100</v>
      </c>
    </row>
    <row r="123" spans="1:6" ht="15">
      <c r="A123" s="583" t="s">
        <v>408</v>
      </c>
      <c r="B123" s="584" t="s">
        <v>409</v>
      </c>
      <c r="C123" s="585">
        <v>130676.75</v>
      </c>
      <c r="D123" s="584" t="s">
        <v>156</v>
      </c>
      <c r="E123" s="584" t="s">
        <v>1550</v>
      </c>
      <c r="F123" s="586" t="s">
        <v>410</v>
      </c>
    </row>
    <row r="124" spans="1:6" ht="15">
      <c r="A124" s="579" t="s">
        <v>411</v>
      </c>
      <c r="B124" s="580" t="s">
        <v>412</v>
      </c>
      <c r="C124" s="581">
        <v>0</v>
      </c>
      <c r="D124" s="580" t="s">
        <v>156</v>
      </c>
      <c r="E124" s="580" t="s">
        <v>1548</v>
      </c>
      <c r="F124" s="582" t="s">
        <v>100</v>
      </c>
    </row>
    <row r="125" spans="1:6" ht="15">
      <c r="A125" s="583" t="s">
        <v>413</v>
      </c>
      <c r="B125" s="584" t="s">
        <v>414</v>
      </c>
      <c r="C125" s="585">
        <v>0</v>
      </c>
      <c r="D125" s="584" t="s">
        <v>156</v>
      </c>
      <c r="E125" s="584" t="s">
        <v>1549</v>
      </c>
      <c r="F125" s="586" t="s">
        <v>100</v>
      </c>
    </row>
    <row r="126" spans="1:6" ht="15">
      <c r="A126" s="579" t="s">
        <v>415</v>
      </c>
      <c r="B126" s="580" t="s">
        <v>416</v>
      </c>
      <c r="C126" s="581">
        <v>0</v>
      </c>
      <c r="D126" s="580" t="s">
        <v>156</v>
      </c>
      <c r="E126" s="580" t="s">
        <v>1550</v>
      </c>
      <c r="F126" s="582" t="s">
        <v>417</v>
      </c>
    </row>
    <row r="127" spans="1:6" ht="15">
      <c r="A127" s="583" t="s">
        <v>418</v>
      </c>
      <c r="B127" s="584" t="s">
        <v>419</v>
      </c>
      <c r="C127" s="585">
        <v>0</v>
      </c>
      <c r="D127" s="584" t="s">
        <v>156</v>
      </c>
      <c r="E127" s="584" t="s">
        <v>1548</v>
      </c>
      <c r="F127" s="586" t="s">
        <v>100</v>
      </c>
    </row>
    <row r="128" spans="1:6" ht="15">
      <c r="A128" s="579" t="s">
        <v>420</v>
      </c>
      <c r="B128" s="580" t="s">
        <v>56</v>
      </c>
      <c r="C128" s="581">
        <v>32279.21</v>
      </c>
      <c r="D128" s="580" t="s">
        <v>156</v>
      </c>
      <c r="E128" s="580" t="s">
        <v>1549</v>
      </c>
      <c r="F128" s="582" t="s">
        <v>100</v>
      </c>
    </row>
    <row r="129" spans="1:6" ht="15">
      <c r="A129" s="583" t="s">
        <v>421</v>
      </c>
      <c r="B129" s="584" t="s">
        <v>422</v>
      </c>
      <c r="C129" s="585">
        <v>32279.21</v>
      </c>
      <c r="D129" s="584" t="s">
        <v>156</v>
      </c>
      <c r="E129" s="584" t="s">
        <v>1550</v>
      </c>
      <c r="F129" s="586" t="s">
        <v>423</v>
      </c>
    </row>
    <row r="130" spans="1:6" ht="15">
      <c r="A130" s="579" t="s">
        <v>424</v>
      </c>
      <c r="B130" s="580" t="s">
        <v>425</v>
      </c>
      <c r="C130" s="581">
        <v>780167.89</v>
      </c>
      <c r="D130" s="580" t="s">
        <v>156</v>
      </c>
      <c r="E130" s="580" t="s">
        <v>1550</v>
      </c>
      <c r="F130" s="582" t="s">
        <v>426</v>
      </c>
    </row>
    <row r="131" spans="1:6" ht="15">
      <c r="A131" s="583" t="s">
        <v>427</v>
      </c>
      <c r="B131" s="584" t="s">
        <v>1572</v>
      </c>
      <c r="C131" s="585">
        <v>0</v>
      </c>
      <c r="D131" s="584" t="s">
        <v>156</v>
      </c>
      <c r="E131" s="584" t="s">
        <v>1548</v>
      </c>
      <c r="F131" s="586" t="s">
        <v>100</v>
      </c>
    </row>
    <row r="132" spans="1:6" ht="15">
      <c r="A132" s="579" t="s">
        <v>430</v>
      </c>
      <c r="B132" s="580" t="s">
        <v>431</v>
      </c>
      <c r="C132" s="581">
        <v>-105628</v>
      </c>
      <c r="D132" s="580" t="s">
        <v>156</v>
      </c>
      <c r="E132" s="580" t="s">
        <v>1549</v>
      </c>
      <c r="F132" s="582" t="s">
        <v>100</v>
      </c>
    </row>
    <row r="133" spans="1:6" ht="15">
      <c r="A133" s="583" t="s">
        <v>439</v>
      </c>
      <c r="B133" s="584" t="s">
        <v>440</v>
      </c>
      <c r="C133" s="585">
        <v>-63956.85</v>
      </c>
      <c r="D133" s="584" t="s">
        <v>156</v>
      </c>
      <c r="E133" s="584" t="s">
        <v>1549</v>
      </c>
      <c r="F133" s="586" t="s">
        <v>100</v>
      </c>
    </row>
    <row r="134" spans="1:6" ht="15">
      <c r="A134" s="579" t="s">
        <v>441</v>
      </c>
      <c r="B134" s="580" t="s">
        <v>442</v>
      </c>
      <c r="C134" s="581">
        <v>0</v>
      </c>
      <c r="D134" s="580" t="s">
        <v>156</v>
      </c>
      <c r="E134" s="580" t="s">
        <v>1549</v>
      </c>
      <c r="F134" s="582" t="s">
        <v>100</v>
      </c>
    </row>
    <row r="135" spans="1:6" ht="15">
      <c r="A135" s="583" t="s">
        <v>443</v>
      </c>
      <c r="B135" s="584" t="s">
        <v>1573</v>
      </c>
      <c r="C135" s="585">
        <v>338265.58</v>
      </c>
      <c r="D135" s="584" t="s">
        <v>156</v>
      </c>
      <c r="E135" s="584" t="s">
        <v>1549</v>
      </c>
      <c r="F135" s="586" t="s">
        <v>100</v>
      </c>
    </row>
    <row r="136" spans="1:6" ht="15">
      <c r="A136" s="579" t="s">
        <v>445</v>
      </c>
      <c r="B136" s="580" t="s">
        <v>1574</v>
      </c>
      <c r="C136" s="581">
        <v>0</v>
      </c>
      <c r="D136" s="580" t="s">
        <v>156</v>
      </c>
      <c r="E136" s="580" t="s">
        <v>1549</v>
      </c>
      <c r="F136" s="582" t="s">
        <v>100</v>
      </c>
    </row>
    <row r="137" spans="1:6" ht="15">
      <c r="A137" s="583" t="s">
        <v>447</v>
      </c>
      <c r="B137" s="584" t="s">
        <v>448</v>
      </c>
      <c r="C137" s="585">
        <v>465089.32</v>
      </c>
      <c r="D137" s="584" t="s">
        <v>156</v>
      </c>
      <c r="E137" s="584" t="s">
        <v>1549</v>
      </c>
      <c r="F137" s="586" t="s">
        <v>100</v>
      </c>
    </row>
    <row r="138" spans="1:6" ht="15">
      <c r="A138" s="579" t="s">
        <v>449</v>
      </c>
      <c r="B138" s="580" t="s">
        <v>450</v>
      </c>
      <c r="C138" s="581">
        <v>0</v>
      </c>
      <c r="D138" s="580" t="s">
        <v>156</v>
      </c>
      <c r="E138" s="580" t="s">
        <v>1549</v>
      </c>
      <c r="F138" s="582" t="s">
        <v>100</v>
      </c>
    </row>
    <row r="139" spans="1:6" ht="15">
      <c r="A139" s="583" t="s">
        <v>451</v>
      </c>
      <c r="B139" s="584" t="s">
        <v>452</v>
      </c>
      <c r="C139" s="585">
        <v>294197.01</v>
      </c>
      <c r="D139" s="584" t="s">
        <v>156</v>
      </c>
      <c r="E139" s="584" t="s">
        <v>1549</v>
      </c>
      <c r="F139" s="586" t="s">
        <v>100</v>
      </c>
    </row>
    <row r="140" spans="1:6" ht="15">
      <c r="A140" s="579" t="s">
        <v>453</v>
      </c>
      <c r="B140" s="580" t="s">
        <v>454</v>
      </c>
      <c r="C140" s="581">
        <v>0</v>
      </c>
      <c r="D140" s="580" t="s">
        <v>156</v>
      </c>
      <c r="E140" s="580" t="s">
        <v>1549</v>
      </c>
      <c r="F140" s="582" t="s">
        <v>100</v>
      </c>
    </row>
    <row r="141" spans="1:6" ht="15">
      <c r="A141" s="583" t="s">
        <v>455</v>
      </c>
      <c r="B141" s="584" t="s">
        <v>456</v>
      </c>
      <c r="C141" s="585">
        <v>0</v>
      </c>
      <c r="D141" s="584" t="s">
        <v>156</v>
      </c>
      <c r="E141" s="584" t="s">
        <v>1549</v>
      </c>
      <c r="F141" s="586" t="s">
        <v>100</v>
      </c>
    </row>
    <row r="142" spans="1:6" ht="15">
      <c r="A142" s="579" t="s">
        <v>457</v>
      </c>
      <c r="B142" s="580" t="s">
        <v>1575</v>
      </c>
      <c r="C142" s="581">
        <v>76950.64</v>
      </c>
      <c r="D142" s="580" t="s">
        <v>156</v>
      </c>
      <c r="E142" s="580" t="s">
        <v>1549</v>
      </c>
      <c r="F142" s="582" t="s">
        <v>100</v>
      </c>
    </row>
    <row r="143" spans="1:6" ht="15">
      <c r="A143" s="583" t="s">
        <v>459</v>
      </c>
      <c r="B143" s="584" t="s">
        <v>1576</v>
      </c>
      <c r="C143" s="585">
        <v>23460.400000000001</v>
      </c>
      <c r="D143" s="584" t="s">
        <v>156</v>
      </c>
      <c r="E143" s="584" t="s">
        <v>1549</v>
      </c>
      <c r="F143" s="586" t="s">
        <v>100</v>
      </c>
    </row>
    <row r="144" spans="1:6" ht="15">
      <c r="A144" s="579" t="s">
        <v>461</v>
      </c>
      <c r="B144" s="580" t="s">
        <v>1577</v>
      </c>
      <c r="C144" s="581">
        <v>1028378.1</v>
      </c>
      <c r="D144" s="580" t="s">
        <v>156</v>
      </c>
      <c r="E144" s="580" t="s">
        <v>1550</v>
      </c>
      <c r="F144" s="582" t="s">
        <v>463</v>
      </c>
    </row>
    <row r="145" spans="1:6" ht="15">
      <c r="A145" s="583" t="s">
        <v>464</v>
      </c>
      <c r="B145" s="584" t="s">
        <v>465</v>
      </c>
      <c r="C145" s="585">
        <v>0</v>
      </c>
      <c r="D145" s="584" t="s">
        <v>156</v>
      </c>
      <c r="E145" s="584" t="s">
        <v>1548</v>
      </c>
      <c r="F145" s="586" t="s">
        <v>100</v>
      </c>
    </row>
    <row r="146" spans="1:6" ht="15">
      <c r="A146" s="579" t="s">
        <v>466</v>
      </c>
      <c r="B146" s="580" t="s">
        <v>467</v>
      </c>
      <c r="C146" s="581">
        <v>0</v>
      </c>
      <c r="D146" s="580" t="s">
        <v>156</v>
      </c>
      <c r="E146" s="580" t="s">
        <v>1548</v>
      </c>
      <c r="F146" s="582" t="s">
        <v>100</v>
      </c>
    </row>
    <row r="147" spans="1:6" ht="15">
      <c r="A147" s="583" t="s">
        <v>468</v>
      </c>
      <c r="B147" s="584" t="s">
        <v>469</v>
      </c>
      <c r="C147" s="585">
        <v>0</v>
      </c>
      <c r="D147" s="584" t="s">
        <v>156</v>
      </c>
      <c r="E147" s="584" t="s">
        <v>1548</v>
      </c>
      <c r="F147" s="586" t="s">
        <v>100</v>
      </c>
    </row>
    <row r="148" spans="1:6" ht="15">
      <c r="A148" s="579" t="s">
        <v>470</v>
      </c>
      <c r="B148" s="580" t="s">
        <v>155</v>
      </c>
      <c r="C148" s="581">
        <v>0</v>
      </c>
      <c r="D148" s="580" t="s">
        <v>156</v>
      </c>
      <c r="E148" s="580" t="s">
        <v>1548</v>
      </c>
      <c r="F148" s="582" t="s">
        <v>100</v>
      </c>
    </row>
    <row r="149" spans="1:6" ht="15">
      <c r="A149" s="583" t="s">
        <v>471</v>
      </c>
      <c r="B149" s="584" t="s">
        <v>472</v>
      </c>
      <c r="C149" s="585">
        <v>-4295925.3</v>
      </c>
      <c r="D149" s="584" t="s">
        <v>156</v>
      </c>
      <c r="E149" s="584" t="s">
        <v>1549</v>
      </c>
      <c r="F149" s="586" t="s">
        <v>100</v>
      </c>
    </row>
    <row r="150" spans="1:6" ht="15">
      <c r="A150" s="579" t="s">
        <v>473</v>
      </c>
      <c r="B150" s="580" t="s">
        <v>474</v>
      </c>
      <c r="C150" s="581">
        <v>-2797385</v>
      </c>
      <c r="D150" s="580" t="s">
        <v>156</v>
      </c>
      <c r="E150" s="580" t="s">
        <v>1549</v>
      </c>
      <c r="F150" s="582" t="s">
        <v>100</v>
      </c>
    </row>
    <row r="151" spans="1:6" ht="15">
      <c r="A151" s="583" t="s">
        <v>478</v>
      </c>
      <c r="B151" s="584" t="s">
        <v>479</v>
      </c>
      <c r="C151" s="585">
        <v>352589.91</v>
      </c>
      <c r="D151" s="584" t="s">
        <v>156</v>
      </c>
      <c r="E151" s="584" t="s">
        <v>1549</v>
      </c>
      <c r="F151" s="586" t="s">
        <v>100</v>
      </c>
    </row>
    <row r="152" spans="1:6" ht="15">
      <c r="A152" s="579" t="s">
        <v>480</v>
      </c>
      <c r="B152" s="580" t="s">
        <v>481</v>
      </c>
      <c r="C152" s="581">
        <v>-1212358.6000000001</v>
      </c>
      <c r="D152" s="580" t="s">
        <v>156</v>
      </c>
      <c r="E152" s="580" t="s">
        <v>1549</v>
      </c>
      <c r="F152" s="582" t="s">
        <v>100</v>
      </c>
    </row>
    <row r="153" spans="1:6" ht="15">
      <c r="A153" s="583" t="s">
        <v>482</v>
      </c>
      <c r="B153" s="584" t="s">
        <v>278</v>
      </c>
      <c r="C153" s="585">
        <v>-7953078.9900000002</v>
      </c>
      <c r="D153" s="584" t="s">
        <v>156</v>
      </c>
      <c r="E153" s="584" t="s">
        <v>1550</v>
      </c>
      <c r="F153" s="586" t="s">
        <v>483</v>
      </c>
    </row>
    <row r="154" spans="1:6" ht="15">
      <c r="A154" s="579" t="s">
        <v>484</v>
      </c>
      <c r="B154" s="580" t="s">
        <v>485</v>
      </c>
      <c r="C154" s="581">
        <v>0</v>
      </c>
      <c r="D154" s="580" t="s">
        <v>156</v>
      </c>
      <c r="E154" s="580" t="s">
        <v>1548</v>
      </c>
      <c r="F154" s="582" t="s">
        <v>100</v>
      </c>
    </row>
    <row r="155" spans="1:6" ht="15">
      <c r="A155" s="583" t="s">
        <v>486</v>
      </c>
      <c r="B155" s="584" t="s">
        <v>487</v>
      </c>
      <c r="C155" s="585">
        <v>91080.79</v>
      </c>
      <c r="D155" s="584" t="s">
        <v>156</v>
      </c>
      <c r="E155" s="584" t="s">
        <v>1549</v>
      </c>
      <c r="F155" s="586" t="s">
        <v>100</v>
      </c>
    </row>
    <row r="156" spans="1:6" ht="15">
      <c r="A156" s="579" t="s">
        <v>488</v>
      </c>
      <c r="B156" s="580" t="s">
        <v>489</v>
      </c>
      <c r="C156" s="581">
        <v>261749.01</v>
      </c>
      <c r="D156" s="580" t="s">
        <v>156</v>
      </c>
      <c r="E156" s="580" t="s">
        <v>1549</v>
      </c>
      <c r="F156" s="582" t="s">
        <v>100</v>
      </c>
    </row>
    <row r="157" spans="1:6" ht="15">
      <c r="A157" s="583" t="s">
        <v>490</v>
      </c>
      <c r="B157" s="584" t="s">
        <v>491</v>
      </c>
      <c r="C157" s="585">
        <v>72995.960000000006</v>
      </c>
      <c r="D157" s="584" t="s">
        <v>156</v>
      </c>
      <c r="E157" s="584" t="s">
        <v>1549</v>
      </c>
      <c r="F157" s="586" t="s">
        <v>100</v>
      </c>
    </row>
    <row r="158" spans="1:6" ht="15">
      <c r="A158" s="579" t="s">
        <v>492</v>
      </c>
      <c r="B158" s="580" t="s">
        <v>493</v>
      </c>
      <c r="C158" s="581">
        <v>-1947.92</v>
      </c>
      <c r="D158" s="580" t="s">
        <v>156</v>
      </c>
      <c r="E158" s="580" t="s">
        <v>1549</v>
      </c>
      <c r="F158" s="582" t="s">
        <v>100</v>
      </c>
    </row>
    <row r="159" spans="1:6" ht="15">
      <c r="A159" s="583" t="s">
        <v>494</v>
      </c>
      <c r="B159" s="584" t="s">
        <v>495</v>
      </c>
      <c r="C159" s="585">
        <v>185839.9</v>
      </c>
      <c r="D159" s="584" t="s">
        <v>156</v>
      </c>
      <c r="E159" s="584" t="s">
        <v>1549</v>
      </c>
      <c r="F159" s="586" t="s">
        <v>100</v>
      </c>
    </row>
    <row r="160" spans="1:6" ht="15">
      <c r="A160" s="579" t="s">
        <v>496</v>
      </c>
      <c r="B160" s="580" t="s">
        <v>497</v>
      </c>
      <c r="C160" s="581">
        <v>1144002.1399999999</v>
      </c>
      <c r="D160" s="580" t="s">
        <v>156</v>
      </c>
      <c r="E160" s="580" t="s">
        <v>1549</v>
      </c>
      <c r="F160" s="582" t="s">
        <v>100</v>
      </c>
    </row>
    <row r="161" spans="1:6" ht="15">
      <c r="A161" s="583" t="s">
        <v>1578</v>
      </c>
      <c r="B161" s="584" t="s">
        <v>1579</v>
      </c>
      <c r="C161" s="585">
        <v>-2</v>
      </c>
      <c r="D161" s="584" t="s">
        <v>156</v>
      </c>
      <c r="E161" s="584" t="s">
        <v>1549</v>
      </c>
      <c r="F161" s="586" t="s">
        <v>100</v>
      </c>
    </row>
    <row r="162" spans="1:6" ht="15">
      <c r="A162" s="579" t="s">
        <v>498</v>
      </c>
      <c r="B162" s="580" t="s">
        <v>499</v>
      </c>
      <c r="C162" s="581">
        <v>-17645.32</v>
      </c>
      <c r="D162" s="580" t="s">
        <v>156</v>
      </c>
      <c r="E162" s="580" t="s">
        <v>1549</v>
      </c>
      <c r="F162" s="582" t="s">
        <v>100</v>
      </c>
    </row>
    <row r="163" spans="1:6" ht="15">
      <c r="A163" s="583" t="s">
        <v>500</v>
      </c>
      <c r="B163" s="584" t="s">
        <v>501</v>
      </c>
      <c r="C163" s="585">
        <v>137024.24</v>
      </c>
      <c r="D163" s="584" t="s">
        <v>156</v>
      </c>
      <c r="E163" s="584" t="s">
        <v>1549</v>
      </c>
      <c r="F163" s="586" t="s">
        <v>100</v>
      </c>
    </row>
    <row r="164" spans="1:6" ht="15">
      <c r="A164" s="579" t="s">
        <v>502</v>
      </c>
      <c r="B164" s="580" t="s">
        <v>503</v>
      </c>
      <c r="C164" s="581">
        <v>1873096.8</v>
      </c>
      <c r="D164" s="580" t="s">
        <v>156</v>
      </c>
      <c r="E164" s="580" t="s">
        <v>1550</v>
      </c>
      <c r="F164" s="582" t="s">
        <v>504</v>
      </c>
    </row>
    <row r="165" spans="1:6" ht="15">
      <c r="A165" s="583" t="s">
        <v>505</v>
      </c>
      <c r="B165" s="584" t="s">
        <v>284</v>
      </c>
      <c r="C165" s="585">
        <v>0</v>
      </c>
      <c r="D165" s="584" t="s">
        <v>156</v>
      </c>
      <c r="E165" s="584" t="s">
        <v>1548</v>
      </c>
      <c r="F165" s="586" t="s">
        <v>100</v>
      </c>
    </row>
    <row r="166" spans="1:6" ht="15">
      <c r="A166" s="579" t="s">
        <v>506</v>
      </c>
      <c r="B166" s="580" t="s">
        <v>507</v>
      </c>
      <c r="C166" s="581">
        <v>2476829.92</v>
      </c>
      <c r="D166" s="580" t="s">
        <v>156</v>
      </c>
      <c r="E166" s="580" t="s">
        <v>1549</v>
      </c>
      <c r="F166" s="582" t="s">
        <v>100</v>
      </c>
    </row>
    <row r="167" spans="1:6" ht="15">
      <c r="A167" s="583" t="s">
        <v>508</v>
      </c>
      <c r="B167" s="584" t="s">
        <v>300</v>
      </c>
      <c r="C167" s="585">
        <v>59750.33</v>
      </c>
      <c r="D167" s="584" t="s">
        <v>156</v>
      </c>
      <c r="E167" s="584" t="s">
        <v>1549</v>
      </c>
      <c r="F167" s="586" t="s">
        <v>100</v>
      </c>
    </row>
    <row r="168" spans="1:6" ht="15">
      <c r="A168" s="579" t="s">
        <v>509</v>
      </c>
      <c r="B168" s="580" t="s">
        <v>294</v>
      </c>
      <c r="C168" s="581">
        <v>-39222.230000000003</v>
      </c>
      <c r="D168" s="580" t="s">
        <v>156</v>
      </c>
      <c r="E168" s="580" t="s">
        <v>1549</v>
      </c>
      <c r="F168" s="582" t="s">
        <v>100</v>
      </c>
    </row>
    <row r="169" spans="1:6" ht="15">
      <c r="A169" s="583" t="s">
        <v>510</v>
      </c>
      <c r="B169" s="584" t="s">
        <v>511</v>
      </c>
      <c r="C169" s="585">
        <v>150087.47</v>
      </c>
      <c r="D169" s="584" t="s">
        <v>156</v>
      </c>
      <c r="E169" s="584" t="s">
        <v>1549</v>
      </c>
      <c r="F169" s="586" t="s">
        <v>100</v>
      </c>
    </row>
    <row r="170" spans="1:6" ht="15">
      <c r="A170" s="579" t="s">
        <v>512</v>
      </c>
      <c r="B170" s="580" t="s">
        <v>513</v>
      </c>
      <c r="C170" s="581">
        <v>273414.31</v>
      </c>
      <c r="D170" s="580" t="s">
        <v>156</v>
      </c>
      <c r="E170" s="580" t="s">
        <v>1549</v>
      </c>
      <c r="F170" s="582" t="s">
        <v>100</v>
      </c>
    </row>
    <row r="171" spans="1:6" ht="15">
      <c r="A171" s="583" t="s">
        <v>514</v>
      </c>
      <c r="B171" s="584" t="s">
        <v>515</v>
      </c>
      <c r="C171" s="585">
        <v>-539.87</v>
      </c>
      <c r="D171" s="584" t="s">
        <v>156</v>
      </c>
      <c r="E171" s="584" t="s">
        <v>1549</v>
      </c>
      <c r="F171" s="586" t="s">
        <v>100</v>
      </c>
    </row>
    <row r="172" spans="1:6" ht="15">
      <c r="A172" s="579" t="s">
        <v>516</v>
      </c>
      <c r="B172" s="580" t="s">
        <v>306</v>
      </c>
      <c r="C172" s="581">
        <v>26886.3</v>
      </c>
      <c r="D172" s="580" t="s">
        <v>156</v>
      </c>
      <c r="E172" s="580" t="s">
        <v>1549</v>
      </c>
      <c r="F172" s="582" t="s">
        <v>100</v>
      </c>
    </row>
    <row r="173" spans="1:6" ht="15">
      <c r="A173" s="583" t="s">
        <v>517</v>
      </c>
      <c r="B173" s="584" t="s">
        <v>317</v>
      </c>
      <c r="C173" s="585">
        <v>47914.38</v>
      </c>
      <c r="D173" s="584" t="s">
        <v>156</v>
      </c>
      <c r="E173" s="584" t="s">
        <v>1549</v>
      </c>
      <c r="F173" s="586" t="s">
        <v>100</v>
      </c>
    </row>
    <row r="174" spans="1:6" ht="15">
      <c r="A174" s="579" t="s">
        <v>518</v>
      </c>
      <c r="B174" s="580" t="s">
        <v>519</v>
      </c>
      <c r="C174" s="581">
        <v>133980.87</v>
      </c>
      <c r="D174" s="580" t="s">
        <v>156</v>
      </c>
      <c r="E174" s="580" t="s">
        <v>1549</v>
      </c>
      <c r="F174" s="582" t="s">
        <v>100</v>
      </c>
    </row>
    <row r="175" spans="1:6" ht="15">
      <c r="A175" s="583" t="s">
        <v>520</v>
      </c>
      <c r="B175" s="584" t="s">
        <v>1558</v>
      </c>
      <c r="C175" s="585">
        <v>29088.95</v>
      </c>
      <c r="D175" s="584" t="s">
        <v>156</v>
      </c>
      <c r="E175" s="584" t="s">
        <v>1549</v>
      </c>
      <c r="F175" s="586" t="s">
        <v>100</v>
      </c>
    </row>
    <row r="176" spans="1:6" ht="15">
      <c r="A176" s="579" t="s">
        <v>522</v>
      </c>
      <c r="B176" s="580" t="s">
        <v>216</v>
      </c>
      <c r="C176" s="581">
        <v>0</v>
      </c>
      <c r="D176" s="580" t="s">
        <v>156</v>
      </c>
      <c r="E176" s="580" t="s">
        <v>1549</v>
      </c>
      <c r="F176" s="582" t="s">
        <v>100</v>
      </c>
    </row>
    <row r="177" spans="1:6" ht="15">
      <c r="A177" s="583" t="s">
        <v>523</v>
      </c>
      <c r="B177" s="584" t="s">
        <v>524</v>
      </c>
      <c r="C177" s="585">
        <v>-9250</v>
      </c>
      <c r="D177" s="584" t="s">
        <v>156</v>
      </c>
      <c r="E177" s="584" t="s">
        <v>1549</v>
      </c>
      <c r="F177" s="586" t="s">
        <v>100</v>
      </c>
    </row>
    <row r="178" spans="1:6" ht="15">
      <c r="A178" s="579" t="s">
        <v>525</v>
      </c>
      <c r="B178" s="580" t="s">
        <v>526</v>
      </c>
      <c r="C178" s="581">
        <v>-144322.45000000001</v>
      </c>
      <c r="D178" s="580" t="s">
        <v>156</v>
      </c>
      <c r="E178" s="580" t="s">
        <v>1549</v>
      </c>
      <c r="F178" s="582" t="s">
        <v>100</v>
      </c>
    </row>
    <row r="179" spans="1:6" ht="15">
      <c r="A179" s="583" t="s">
        <v>527</v>
      </c>
      <c r="B179" s="584" t="s">
        <v>341</v>
      </c>
      <c r="C179" s="585">
        <v>3004617.98</v>
      </c>
      <c r="D179" s="584" t="s">
        <v>156</v>
      </c>
      <c r="E179" s="584" t="s">
        <v>1550</v>
      </c>
      <c r="F179" s="586" t="s">
        <v>528</v>
      </c>
    </row>
    <row r="180" spans="1:6" ht="15">
      <c r="A180" s="579" t="s">
        <v>529</v>
      </c>
      <c r="B180" s="580" t="s">
        <v>530</v>
      </c>
      <c r="C180" s="581">
        <v>0</v>
      </c>
      <c r="D180" s="580" t="s">
        <v>156</v>
      </c>
      <c r="E180" s="580" t="s">
        <v>1548</v>
      </c>
      <c r="F180" s="582" t="s">
        <v>100</v>
      </c>
    </row>
    <row r="181" spans="1:6" ht="15">
      <c r="A181" s="583" t="s">
        <v>531</v>
      </c>
      <c r="B181" s="584" t="s">
        <v>532</v>
      </c>
      <c r="C181" s="585">
        <v>8613.9699999999993</v>
      </c>
      <c r="D181" s="584" t="s">
        <v>156</v>
      </c>
      <c r="E181" s="584" t="s">
        <v>1549</v>
      </c>
      <c r="F181" s="586" t="s">
        <v>100</v>
      </c>
    </row>
    <row r="182" spans="1:6" ht="15">
      <c r="A182" s="579" t="s">
        <v>533</v>
      </c>
      <c r="B182" s="580" t="s">
        <v>534</v>
      </c>
      <c r="C182" s="581">
        <v>14848.63</v>
      </c>
      <c r="D182" s="580" t="s">
        <v>156</v>
      </c>
      <c r="E182" s="580" t="s">
        <v>1549</v>
      </c>
      <c r="F182" s="582" t="s">
        <v>100</v>
      </c>
    </row>
    <row r="183" spans="1:6" ht="15">
      <c r="A183" s="583" t="s">
        <v>535</v>
      </c>
      <c r="B183" s="584" t="s">
        <v>536</v>
      </c>
      <c r="C183" s="585">
        <v>12340.23</v>
      </c>
      <c r="D183" s="584" t="s">
        <v>156</v>
      </c>
      <c r="E183" s="584" t="s">
        <v>1549</v>
      </c>
      <c r="F183" s="586" t="s">
        <v>100</v>
      </c>
    </row>
    <row r="184" spans="1:6" ht="15">
      <c r="A184" s="579" t="s">
        <v>537</v>
      </c>
      <c r="B184" s="580" t="s">
        <v>538</v>
      </c>
      <c r="C184" s="581">
        <v>0</v>
      </c>
      <c r="D184" s="580" t="s">
        <v>156</v>
      </c>
      <c r="E184" s="580" t="s">
        <v>1549</v>
      </c>
      <c r="F184" s="582" t="s">
        <v>100</v>
      </c>
    </row>
    <row r="185" spans="1:6" ht="15">
      <c r="A185" s="583" t="s">
        <v>539</v>
      </c>
      <c r="B185" s="584" t="s">
        <v>540</v>
      </c>
      <c r="C185" s="585">
        <v>299151.23</v>
      </c>
      <c r="D185" s="584" t="s">
        <v>156</v>
      </c>
      <c r="E185" s="584" t="s">
        <v>1549</v>
      </c>
      <c r="F185" s="586" t="s">
        <v>100</v>
      </c>
    </row>
    <row r="186" spans="1:6" ht="15">
      <c r="A186" s="579" t="s">
        <v>541</v>
      </c>
      <c r="B186" s="580" t="s">
        <v>542</v>
      </c>
      <c r="C186" s="581">
        <v>0</v>
      </c>
      <c r="D186" s="580" t="s">
        <v>156</v>
      </c>
      <c r="E186" s="580" t="s">
        <v>1549</v>
      </c>
      <c r="F186" s="582" t="s">
        <v>100</v>
      </c>
    </row>
    <row r="187" spans="1:6" ht="15">
      <c r="A187" s="583" t="s">
        <v>543</v>
      </c>
      <c r="B187" s="584" t="s">
        <v>544</v>
      </c>
      <c r="C187" s="585">
        <v>8179.5</v>
      </c>
      <c r="D187" s="584" t="s">
        <v>156</v>
      </c>
      <c r="E187" s="584" t="s">
        <v>1549</v>
      </c>
      <c r="F187" s="586" t="s">
        <v>100</v>
      </c>
    </row>
    <row r="188" spans="1:6" ht="15">
      <c r="A188" s="579" t="s">
        <v>545</v>
      </c>
      <c r="B188" s="580" t="s">
        <v>546</v>
      </c>
      <c r="C188" s="581">
        <v>64274.99</v>
      </c>
      <c r="D188" s="580" t="s">
        <v>156</v>
      </c>
      <c r="E188" s="580" t="s">
        <v>1549</v>
      </c>
      <c r="F188" s="582" t="s">
        <v>100</v>
      </c>
    </row>
    <row r="189" spans="1:6" ht="15">
      <c r="A189" s="583" t="s">
        <v>547</v>
      </c>
      <c r="B189" s="584" t="s">
        <v>548</v>
      </c>
      <c r="C189" s="585">
        <v>407408.55</v>
      </c>
      <c r="D189" s="584" t="s">
        <v>156</v>
      </c>
      <c r="E189" s="584" t="s">
        <v>1550</v>
      </c>
      <c r="F189" s="586" t="s">
        <v>549</v>
      </c>
    </row>
    <row r="190" spans="1:6" ht="15">
      <c r="A190" s="579" t="s">
        <v>550</v>
      </c>
      <c r="B190" s="580" t="s">
        <v>551</v>
      </c>
      <c r="C190" s="581">
        <v>0</v>
      </c>
      <c r="D190" s="580" t="s">
        <v>156</v>
      </c>
      <c r="E190" s="580" t="s">
        <v>1548</v>
      </c>
      <c r="F190" s="582" t="s">
        <v>100</v>
      </c>
    </row>
    <row r="191" spans="1:6" ht="15">
      <c r="A191" s="583" t="s">
        <v>552</v>
      </c>
      <c r="B191" s="584" t="s">
        <v>553</v>
      </c>
      <c r="C191" s="585">
        <v>344992.52</v>
      </c>
      <c r="D191" s="584" t="s">
        <v>156</v>
      </c>
      <c r="E191" s="584" t="s">
        <v>1549</v>
      </c>
      <c r="F191" s="586" t="s">
        <v>100</v>
      </c>
    </row>
    <row r="192" spans="1:6" ht="15">
      <c r="A192" s="579" t="s">
        <v>554</v>
      </c>
      <c r="B192" s="580" t="s">
        <v>555</v>
      </c>
      <c r="C192" s="581">
        <v>146689.54999999999</v>
      </c>
      <c r="D192" s="580" t="s">
        <v>156</v>
      </c>
      <c r="E192" s="580" t="s">
        <v>1549</v>
      </c>
      <c r="F192" s="582" t="s">
        <v>100</v>
      </c>
    </row>
    <row r="193" spans="1:6" ht="15">
      <c r="A193" s="583" t="s">
        <v>556</v>
      </c>
      <c r="B193" s="584" t="s">
        <v>1580</v>
      </c>
      <c r="C193" s="585">
        <v>2028572.82</v>
      </c>
      <c r="D193" s="584" t="s">
        <v>156</v>
      </c>
      <c r="E193" s="584" t="s">
        <v>1549</v>
      </c>
      <c r="F193" s="586" t="s">
        <v>100</v>
      </c>
    </row>
    <row r="194" spans="1:6" ht="15">
      <c r="A194" s="579" t="s">
        <v>558</v>
      </c>
      <c r="B194" s="580" t="s">
        <v>559</v>
      </c>
      <c r="C194" s="581">
        <v>65529.49</v>
      </c>
      <c r="D194" s="580" t="s">
        <v>156</v>
      </c>
      <c r="E194" s="580" t="s">
        <v>1549</v>
      </c>
      <c r="F194" s="582" t="s">
        <v>100</v>
      </c>
    </row>
    <row r="195" spans="1:6" ht="15">
      <c r="A195" s="583" t="s">
        <v>560</v>
      </c>
      <c r="B195" s="584" t="s">
        <v>561</v>
      </c>
      <c r="C195" s="585">
        <v>133349.85999999999</v>
      </c>
      <c r="D195" s="584" t="s">
        <v>156</v>
      </c>
      <c r="E195" s="584" t="s">
        <v>1549</v>
      </c>
      <c r="F195" s="586" t="s">
        <v>100</v>
      </c>
    </row>
    <row r="196" spans="1:6" ht="15">
      <c r="A196" s="579" t="s">
        <v>562</v>
      </c>
      <c r="B196" s="580" t="s">
        <v>563</v>
      </c>
      <c r="C196" s="581">
        <v>177053.18</v>
      </c>
      <c r="D196" s="580" t="s">
        <v>156</v>
      </c>
      <c r="E196" s="580" t="s">
        <v>1549</v>
      </c>
      <c r="F196" s="582" t="s">
        <v>100</v>
      </c>
    </row>
    <row r="197" spans="1:6" ht="15">
      <c r="A197" s="583" t="s">
        <v>564</v>
      </c>
      <c r="B197" s="584" t="s">
        <v>565</v>
      </c>
      <c r="C197" s="585">
        <v>56000</v>
      </c>
      <c r="D197" s="584" t="s">
        <v>156</v>
      </c>
      <c r="E197" s="584" t="s">
        <v>1549</v>
      </c>
      <c r="F197" s="586" t="s">
        <v>100</v>
      </c>
    </row>
    <row r="198" spans="1:6" ht="15">
      <c r="A198" s="579" t="s">
        <v>1581</v>
      </c>
      <c r="B198" s="580" t="s">
        <v>1582</v>
      </c>
      <c r="C198" s="581">
        <v>95463.679999999993</v>
      </c>
      <c r="D198" s="580" t="s">
        <v>156</v>
      </c>
      <c r="E198" s="580" t="s">
        <v>1549</v>
      </c>
      <c r="F198" s="582" t="s">
        <v>100</v>
      </c>
    </row>
    <row r="199" spans="1:6" ht="15">
      <c r="A199" s="583" t="s">
        <v>566</v>
      </c>
      <c r="B199" s="584" t="s">
        <v>567</v>
      </c>
      <c r="C199" s="585">
        <v>3047651.1</v>
      </c>
      <c r="D199" s="584" t="s">
        <v>156</v>
      </c>
      <c r="E199" s="584" t="s">
        <v>1550</v>
      </c>
      <c r="F199" s="586" t="s">
        <v>568</v>
      </c>
    </row>
    <row r="200" spans="1:6" ht="15">
      <c r="A200" s="579" t="s">
        <v>569</v>
      </c>
      <c r="B200" s="580" t="s">
        <v>570</v>
      </c>
      <c r="C200" s="581">
        <v>0</v>
      </c>
      <c r="D200" s="580" t="s">
        <v>156</v>
      </c>
      <c r="E200" s="580" t="s">
        <v>1548</v>
      </c>
      <c r="F200" s="582" t="s">
        <v>100</v>
      </c>
    </row>
    <row r="201" spans="1:6" ht="15">
      <c r="A201" s="583" t="s">
        <v>571</v>
      </c>
      <c r="B201" s="584" t="s">
        <v>572</v>
      </c>
      <c r="C201" s="585">
        <v>40747.15</v>
      </c>
      <c r="D201" s="584" t="s">
        <v>156</v>
      </c>
      <c r="E201" s="584" t="s">
        <v>1549</v>
      </c>
      <c r="F201" s="586" t="s">
        <v>100</v>
      </c>
    </row>
    <row r="202" spans="1:6" ht="15">
      <c r="A202" s="579" t="s">
        <v>573</v>
      </c>
      <c r="B202" s="580" t="s">
        <v>574</v>
      </c>
      <c r="C202" s="581">
        <v>12000</v>
      </c>
      <c r="D202" s="580" t="s">
        <v>156</v>
      </c>
      <c r="E202" s="580" t="s">
        <v>1549</v>
      </c>
      <c r="F202" s="582" t="s">
        <v>100</v>
      </c>
    </row>
    <row r="203" spans="1:6" ht="15">
      <c r="A203" s="583" t="s">
        <v>575</v>
      </c>
      <c r="B203" s="584" t="s">
        <v>576</v>
      </c>
      <c r="C203" s="585">
        <v>52747.15</v>
      </c>
      <c r="D203" s="584" t="s">
        <v>156</v>
      </c>
      <c r="E203" s="584" t="s">
        <v>1550</v>
      </c>
      <c r="F203" s="586" t="s">
        <v>577</v>
      </c>
    </row>
    <row r="204" spans="1:6" ht="15">
      <c r="A204" s="579" t="s">
        <v>578</v>
      </c>
      <c r="B204" s="580" t="s">
        <v>579</v>
      </c>
      <c r="C204" s="581">
        <v>0</v>
      </c>
      <c r="D204" s="580" t="s">
        <v>156</v>
      </c>
      <c r="E204" s="580" t="s">
        <v>1548</v>
      </c>
      <c r="F204" s="582" t="s">
        <v>100</v>
      </c>
    </row>
    <row r="205" spans="1:6" ht="15">
      <c r="A205" s="583" t="s">
        <v>580</v>
      </c>
      <c r="B205" s="584" t="s">
        <v>581</v>
      </c>
      <c r="C205" s="585">
        <v>36394.42</v>
      </c>
      <c r="D205" s="584" t="s">
        <v>156</v>
      </c>
      <c r="E205" s="584" t="s">
        <v>1549</v>
      </c>
      <c r="F205" s="586" t="s">
        <v>100</v>
      </c>
    </row>
    <row r="206" spans="1:6" ht="15">
      <c r="A206" s="579" t="s">
        <v>582</v>
      </c>
      <c r="B206" s="580" t="s">
        <v>583</v>
      </c>
      <c r="C206" s="581">
        <v>160442.16</v>
      </c>
      <c r="D206" s="580" t="s">
        <v>156</v>
      </c>
      <c r="E206" s="580" t="s">
        <v>1549</v>
      </c>
      <c r="F206" s="582" t="s">
        <v>100</v>
      </c>
    </row>
    <row r="207" spans="1:6" ht="15">
      <c r="A207" s="583" t="s">
        <v>584</v>
      </c>
      <c r="B207" s="584" t="s">
        <v>585</v>
      </c>
      <c r="C207" s="585">
        <v>-46128</v>
      </c>
      <c r="D207" s="584" t="s">
        <v>156</v>
      </c>
      <c r="E207" s="584" t="s">
        <v>1549</v>
      </c>
      <c r="F207" s="586" t="s">
        <v>100</v>
      </c>
    </row>
    <row r="208" spans="1:6" ht="15">
      <c r="A208" s="579" t="s">
        <v>586</v>
      </c>
      <c r="B208" s="580" t="s">
        <v>587</v>
      </c>
      <c r="C208" s="581">
        <v>205061.98</v>
      </c>
      <c r="D208" s="580" t="s">
        <v>156</v>
      </c>
      <c r="E208" s="580" t="s">
        <v>1549</v>
      </c>
      <c r="F208" s="582" t="s">
        <v>100</v>
      </c>
    </row>
    <row r="209" spans="1:6" ht="15">
      <c r="A209" s="583" t="s">
        <v>588</v>
      </c>
      <c r="B209" s="584" t="s">
        <v>1583</v>
      </c>
      <c r="C209" s="585">
        <v>0</v>
      </c>
      <c r="D209" s="584" t="s">
        <v>156</v>
      </c>
      <c r="E209" s="584" t="s">
        <v>1549</v>
      </c>
      <c r="F209" s="586" t="s">
        <v>100</v>
      </c>
    </row>
    <row r="210" spans="1:6" ht="15">
      <c r="A210" s="579" t="s">
        <v>590</v>
      </c>
      <c r="B210" s="580" t="s">
        <v>591</v>
      </c>
      <c r="C210" s="581">
        <v>-1154.3399999999999</v>
      </c>
      <c r="D210" s="580" t="s">
        <v>156</v>
      </c>
      <c r="E210" s="580" t="s">
        <v>1549</v>
      </c>
      <c r="F210" s="582" t="s">
        <v>100</v>
      </c>
    </row>
    <row r="211" spans="1:6" ht="15">
      <c r="A211" s="583" t="s">
        <v>592</v>
      </c>
      <c r="B211" s="584" t="s">
        <v>593</v>
      </c>
      <c r="C211" s="585">
        <v>22101.93</v>
      </c>
      <c r="D211" s="584" t="s">
        <v>156</v>
      </c>
      <c r="E211" s="584" t="s">
        <v>1549</v>
      </c>
      <c r="F211" s="586" t="s">
        <v>100</v>
      </c>
    </row>
    <row r="212" spans="1:6" ht="15">
      <c r="A212" s="579" t="s">
        <v>594</v>
      </c>
      <c r="B212" s="580" t="s">
        <v>595</v>
      </c>
      <c r="C212" s="581">
        <v>376718.15</v>
      </c>
      <c r="D212" s="580" t="s">
        <v>156</v>
      </c>
      <c r="E212" s="580" t="s">
        <v>1550</v>
      </c>
      <c r="F212" s="582" t="s">
        <v>596</v>
      </c>
    </row>
    <row r="213" spans="1:6" ht="15">
      <c r="A213" s="583" t="s">
        <v>597</v>
      </c>
      <c r="B213" s="584" t="s">
        <v>595</v>
      </c>
      <c r="C213" s="585">
        <v>0</v>
      </c>
      <c r="D213" s="584" t="s">
        <v>156</v>
      </c>
      <c r="E213" s="584" t="s">
        <v>1584</v>
      </c>
      <c r="F213" s="586" t="s">
        <v>100</v>
      </c>
    </row>
    <row r="214" spans="1:6" ht="15">
      <c r="A214" s="579" t="s">
        <v>599</v>
      </c>
      <c r="B214" s="580" t="s">
        <v>600</v>
      </c>
      <c r="C214" s="581">
        <v>0</v>
      </c>
      <c r="D214" s="580" t="s">
        <v>156</v>
      </c>
      <c r="E214" s="580" t="s">
        <v>1548</v>
      </c>
      <c r="F214" s="582" t="s">
        <v>100</v>
      </c>
    </row>
    <row r="215" spans="1:6" ht="15">
      <c r="A215" s="583" t="s">
        <v>601</v>
      </c>
      <c r="B215" s="584" t="s">
        <v>602</v>
      </c>
      <c r="C215" s="585">
        <v>0</v>
      </c>
      <c r="D215" s="584" t="s">
        <v>156</v>
      </c>
      <c r="E215" s="584" t="s">
        <v>1549</v>
      </c>
      <c r="F215" s="586" t="s">
        <v>100</v>
      </c>
    </row>
    <row r="216" spans="1:6" ht="15">
      <c r="A216" s="579" t="s">
        <v>603</v>
      </c>
      <c r="B216" s="580" t="s">
        <v>604</v>
      </c>
      <c r="C216" s="581">
        <v>8261.2900000000009</v>
      </c>
      <c r="D216" s="580" t="s">
        <v>156</v>
      </c>
      <c r="E216" s="580" t="s">
        <v>1549</v>
      </c>
      <c r="F216" s="582" t="s">
        <v>100</v>
      </c>
    </row>
    <row r="217" spans="1:6" ht="15">
      <c r="A217" s="583" t="s">
        <v>605</v>
      </c>
      <c r="B217" s="584" t="s">
        <v>606</v>
      </c>
      <c r="C217" s="585">
        <v>0</v>
      </c>
      <c r="D217" s="584" t="s">
        <v>156</v>
      </c>
      <c r="E217" s="584" t="s">
        <v>1549</v>
      </c>
      <c r="F217" s="586" t="s">
        <v>100</v>
      </c>
    </row>
    <row r="218" spans="1:6" ht="15">
      <c r="A218" s="579" t="s">
        <v>607</v>
      </c>
      <c r="B218" s="580" t="s">
        <v>608</v>
      </c>
      <c r="C218" s="581">
        <v>22563.69</v>
      </c>
      <c r="D218" s="580" t="s">
        <v>156</v>
      </c>
      <c r="E218" s="580" t="s">
        <v>1549</v>
      </c>
      <c r="F218" s="582" t="s">
        <v>100</v>
      </c>
    </row>
    <row r="219" spans="1:6" ht="15">
      <c r="A219" s="583" t="s">
        <v>609</v>
      </c>
      <c r="B219" s="584" t="s">
        <v>610</v>
      </c>
      <c r="C219" s="585">
        <v>0</v>
      </c>
      <c r="D219" s="584" t="s">
        <v>156</v>
      </c>
      <c r="E219" s="584" t="s">
        <v>1549</v>
      </c>
      <c r="F219" s="586" t="s">
        <v>100</v>
      </c>
    </row>
    <row r="220" spans="1:6" ht="15">
      <c r="A220" s="579" t="s">
        <v>611</v>
      </c>
      <c r="B220" s="580" t="s">
        <v>612</v>
      </c>
      <c r="C220" s="581">
        <v>707.26</v>
      </c>
      <c r="D220" s="580" t="s">
        <v>156</v>
      </c>
      <c r="E220" s="580" t="s">
        <v>1549</v>
      </c>
      <c r="F220" s="582" t="s">
        <v>100</v>
      </c>
    </row>
    <row r="221" spans="1:6" ht="15">
      <c r="A221" s="583" t="s">
        <v>613</v>
      </c>
      <c r="B221" s="584" t="s">
        <v>614</v>
      </c>
      <c r="C221" s="585">
        <v>0</v>
      </c>
      <c r="D221" s="584" t="s">
        <v>156</v>
      </c>
      <c r="E221" s="584" t="s">
        <v>1549</v>
      </c>
      <c r="F221" s="586" t="s">
        <v>100</v>
      </c>
    </row>
    <row r="222" spans="1:6" ht="15">
      <c r="A222" s="579" t="s">
        <v>615</v>
      </c>
      <c r="B222" s="580" t="s">
        <v>616</v>
      </c>
      <c r="C222" s="581">
        <v>-24943.37</v>
      </c>
      <c r="D222" s="580" t="s">
        <v>156</v>
      </c>
      <c r="E222" s="580" t="s">
        <v>1549</v>
      </c>
      <c r="F222" s="582" t="s">
        <v>100</v>
      </c>
    </row>
    <row r="223" spans="1:6" ht="15">
      <c r="A223" s="583" t="s">
        <v>617</v>
      </c>
      <c r="B223" s="584" t="s">
        <v>618</v>
      </c>
      <c r="C223" s="585">
        <v>6588.87</v>
      </c>
      <c r="D223" s="584" t="s">
        <v>156</v>
      </c>
      <c r="E223" s="584" t="s">
        <v>1550</v>
      </c>
      <c r="F223" s="586" t="s">
        <v>619</v>
      </c>
    </row>
    <row r="224" spans="1:6" ht="15">
      <c r="A224" s="579" t="s">
        <v>620</v>
      </c>
      <c r="B224" s="580" t="s">
        <v>621</v>
      </c>
      <c r="C224" s="581">
        <v>815749.61</v>
      </c>
      <c r="D224" s="580" t="s">
        <v>156</v>
      </c>
      <c r="E224" s="580" t="s">
        <v>1550</v>
      </c>
      <c r="F224" s="582" t="s">
        <v>622</v>
      </c>
    </row>
    <row r="225" spans="1:6" ht="15">
      <c r="A225" s="583" t="s">
        <v>623</v>
      </c>
      <c r="B225" s="584" t="s">
        <v>624</v>
      </c>
      <c r="C225" s="585">
        <v>815749.61</v>
      </c>
      <c r="D225" s="584" t="s">
        <v>156</v>
      </c>
      <c r="E225" s="584" t="s">
        <v>1550</v>
      </c>
      <c r="F225" s="586" t="s">
        <v>625</v>
      </c>
    </row>
    <row r="226" spans="1:6" ht="15">
      <c r="A226" s="579" t="s">
        <v>626</v>
      </c>
      <c r="B226" s="580" t="s">
        <v>627</v>
      </c>
      <c r="C226" s="581">
        <v>0</v>
      </c>
      <c r="D226" s="580" t="s">
        <v>156</v>
      </c>
      <c r="E226" s="580" t="s">
        <v>1548</v>
      </c>
      <c r="F226" s="582" t="s">
        <v>100</v>
      </c>
    </row>
    <row r="227" spans="1:6" ht="15">
      <c r="A227" s="583" t="s">
        <v>628</v>
      </c>
      <c r="B227" s="584" t="s">
        <v>629</v>
      </c>
      <c r="C227" s="585">
        <v>8245.26</v>
      </c>
      <c r="D227" s="584" t="s">
        <v>156</v>
      </c>
      <c r="E227" s="584" t="s">
        <v>1549</v>
      </c>
      <c r="F227" s="586" t="s">
        <v>100</v>
      </c>
    </row>
    <row r="228" spans="1:6" ht="15">
      <c r="A228" s="579" t="s">
        <v>630</v>
      </c>
      <c r="B228" s="580" t="s">
        <v>631</v>
      </c>
      <c r="C228" s="581">
        <v>8245.26</v>
      </c>
      <c r="D228" s="580" t="s">
        <v>156</v>
      </c>
      <c r="E228" s="580" t="s">
        <v>1550</v>
      </c>
      <c r="F228" s="582" t="s">
        <v>632</v>
      </c>
    </row>
    <row r="229" spans="1:6" ht="15">
      <c r="A229" s="583" t="s">
        <v>633</v>
      </c>
      <c r="B229" s="584" t="s">
        <v>634</v>
      </c>
      <c r="C229" s="585">
        <v>823994.87</v>
      </c>
      <c r="D229" s="584" t="s">
        <v>156</v>
      </c>
      <c r="E229" s="584" t="s">
        <v>1550</v>
      </c>
      <c r="F229" s="586" t="s">
        <v>635</v>
      </c>
    </row>
    <row r="230" spans="1:6" ht="15">
      <c r="A230" s="579" t="s">
        <v>636</v>
      </c>
      <c r="B230" s="580" t="s">
        <v>637</v>
      </c>
      <c r="C230" s="581">
        <v>0</v>
      </c>
      <c r="D230" s="580" t="s">
        <v>156</v>
      </c>
      <c r="E230" s="580" t="s">
        <v>1548</v>
      </c>
      <c r="F230" s="582" t="s">
        <v>100</v>
      </c>
    </row>
    <row r="231" spans="1:6" ht="15">
      <c r="A231" s="583" t="s">
        <v>638</v>
      </c>
      <c r="B231" s="584" t="s">
        <v>639</v>
      </c>
      <c r="C231" s="585">
        <v>0</v>
      </c>
      <c r="D231" s="584" t="s">
        <v>156</v>
      </c>
      <c r="E231" s="584" t="s">
        <v>1548</v>
      </c>
      <c r="F231" s="586" t="s">
        <v>100</v>
      </c>
    </row>
    <row r="232" spans="1:6" ht="15">
      <c r="A232" s="579" t="s">
        <v>640</v>
      </c>
      <c r="B232" s="580" t="s">
        <v>641</v>
      </c>
      <c r="C232" s="581">
        <v>-2160333.64</v>
      </c>
      <c r="D232" s="580" t="s">
        <v>156</v>
      </c>
      <c r="E232" s="580" t="s">
        <v>1549</v>
      </c>
      <c r="F232" s="582" t="s">
        <v>100</v>
      </c>
    </row>
    <row r="233" spans="1:6" ht="15">
      <c r="A233" s="583" t="s">
        <v>642</v>
      </c>
      <c r="B233" s="584" t="s">
        <v>643</v>
      </c>
      <c r="C233" s="585">
        <v>-125681.72</v>
      </c>
      <c r="D233" s="584" t="s">
        <v>156</v>
      </c>
      <c r="E233" s="584" t="s">
        <v>1549</v>
      </c>
      <c r="F233" s="586" t="s">
        <v>100</v>
      </c>
    </row>
    <row r="234" spans="1:6" ht="15">
      <c r="A234" s="579" t="s">
        <v>644</v>
      </c>
      <c r="B234" s="580" t="s">
        <v>645</v>
      </c>
      <c r="C234" s="581">
        <v>0</v>
      </c>
      <c r="D234" s="580" t="s">
        <v>156</v>
      </c>
      <c r="E234" s="580" t="s">
        <v>1549</v>
      </c>
      <c r="F234" s="582" t="s">
        <v>100</v>
      </c>
    </row>
    <row r="235" spans="1:6" ht="15">
      <c r="A235" s="583" t="s">
        <v>646</v>
      </c>
      <c r="B235" s="584" t="s">
        <v>202</v>
      </c>
      <c r="C235" s="585">
        <v>-18805.16</v>
      </c>
      <c r="D235" s="584" t="s">
        <v>156</v>
      </c>
      <c r="E235" s="584" t="s">
        <v>1549</v>
      </c>
      <c r="F235" s="586" t="s">
        <v>100</v>
      </c>
    </row>
    <row r="236" spans="1:6" ht="15">
      <c r="A236" s="579" t="s">
        <v>647</v>
      </c>
      <c r="B236" s="580" t="s">
        <v>648</v>
      </c>
      <c r="C236" s="581">
        <v>108192.76</v>
      </c>
      <c r="D236" s="580" t="s">
        <v>156</v>
      </c>
      <c r="E236" s="580" t="s">
        <v>1549</v>
      </c>
      <c r="F236" s="582" t="s">
        <v>100</v>
      </c>
    </row>
    <row r="237" spans="1:6" ht="15">
      <c r="A237" s="583" t="s">
        <v>649</v>
      </c>
      <c r="B237" s="584" t="s">
        <v>650</v>
      </c>
      <c r="C237" s="585">
        <v>169867.38</v>
      </c>
      <c r="D237" s="584" t="s">
        <v>156</v>
      </c>
      <c r="E237" s="584" t="s">
        <v>1549</v>
      </c>
      <c r="F237" s="586" t="s">
        <v>100</v>
      </c>
    </row>
    <row r="238" spans="1:6" ht="15">
      <c r="A238" s="579" t="s">
        <v>651</v>
      </c>
      <c r="B238" s="580" t="s">
        <v>652</v>
      </c>
      <c r="C238" s="581">
        <v>310986.71999999997</v>
      </c>
      <c r="D238" s="580" t="s">
        <v>156</v>
      </c>
      <c r="E238" s="580" t="s">
        <v>1549</v>
      </c>
      <c r="F238" s="582" t="s">
        <v>100</v>
      </c>
    </row>
    <row r="239" spans="1:6" ht="15">
      <c r="A239" s="583" t="s">
        <v>653</v>
      </c>
      <c r="B239" s="584" t="s">
        <v>654</v>
      </c>
      <c r="C239" s="585">
        <v>14778.41</v>
      </c>
      <c r="D239" s="584" t="s">
        <v>156</v>
      </c>
      <c r="E239" s="584" t="s">
        <v>1549</v>
      </c>
      <c r="F239" s="586" t="s">
        <v>100</v>
      </c>
    </row>
    <row r="240" spans="1:6" ht="15">
      <c r="A240" s="579" t="s">
        <v>655</v>
      </c>
      <c r="B240" s="580" t="s">
        <v>656</v>
      </c>
      <c r="C240" s="581">
        <v>6024.89</v>
      </c>
      <c r="D240" s="580" t="s">
        <v>156</v>
      </c>
      <c r="E240" s="580" t="s">
        <v>1549</v>
      </c>
      <c r="F240" s="582" t="s">
        <v>100</v>
      </c>
    </row>
    <row r="241" spans="1:6" ht="15">
      <c r="A241" s="583" t="s">
        <v>657</v>
      </c>
      <c r="B241" s="584" t="s">
        <v>658</v>
      </c>
      <c r="C241" s="585">
        <v>162.54</v>
      </c>
      <c r="D241" s="584" t="s">
        <v>156</v>
      </c>
      <c r="E241" s="584" t="s">
        <v>1549</v>
      </c>
      <c r="F241" s="586" t="s">
        <v>100</v>
      </c>
    </row>
    <row r="242" spans="1:6" ht="15">
      <c r="A242" s="579" t="s">
        <v>659</v>
      </c>
      <c r="B242" s="580" t="s">
        <v>660</v>
      </c>
      <c r="C242" s="581">
        <v>942068.55</v>
      </c>
      <c r="D242" s="580" t="s">
        <v>156</v>
      </c>
      <c r="E242" s="580" t="s">
        <v>1549</v>
      </c>
      <c r="F242" s="582" t="s">
        <v>100</v>
      </c>
    </row>
    <row r="243" spans="1:6" ht="15">
      <c r="A243" s="583" t="s">
        <v>661</v>
      </c>
      <c r="B243" s="584" t="s">
        <v>662</v>
      </c>
      <c r="C243" s="585">
        <v>40</v>
      </c>
      <c r="D243" s="584" t="s">
        <v>156</v>
      </c>
      <c r="E243" s="584" t="s">
        <v>1549</v>
      </c>
      <c r="F243" s="586" t="s">
        <v>100</v>
      </c>
    </row>
    <row r="244" spans="1:6" ht="15">
      <c r="A244" s="579" t="s">
        <v>663</v>
      </c>
      <c r="B244" s="580" t="s">
        <v>664</v>
      </c>
      <c r="C244" s="581">
        <v>630122.31999999995</v>
      </c>
      <c r="D244" s="580" t="s">
        <v>156</v>
      </c>
      <c r="E244" s="580" t="s">
        <v>1549</v>
      </c>
      <c r="F244" s="582" t="s">
        <v>100</v>
      </c>
    </row>
    <row r="245" spans="1:6" ht="15">
      <c r="A245" s="583" t="s">
        <v>665</v>
      </c>
      <c r="B245" s="584" t="s">
        <v>666</v>
      </c>
      <c r="C245" s="585">
        <v>32887.949999999997</v>
      </c>
      <c r="D245" s="584" t="s">
        <v>156</v>
      </c>
      <c r="E245" s="584" t="s">
        <v>1549</v>
      </c>
      <c r="F245" s="586" t="s">
        <v>100</v>
      </c>
    </row>
    <row r="246" spans="1:6" ht="15">
      <c r="A246" s="579" t="s">
        <v>667</v>
      </c>
      <c r="B246" s="580" t="s">
        <v>220</v>
      </c>
      <c r="C246" s="581">
        <v>24828.01</v>
      </c>
      <c r="D246" s="580" t="s">
        <v>156</v>
      </c>
      <c r="E246" s="580" t="s">
        <v>1549</v>
      </c>
      <c r="F246" s="582" t="s">
        <v>100</v>
      </c>
    </row>
    <row r="247" spans="1:6" ht="15">
      <c r="A247" s="583" t="s">
        <v>668</v>
      </c>
      <c r="B247" s="584" t="s">
        <v>669</v>
      </c>
      <c r="C247" s="585">
        <v>124456.98</v>
      </c>
      <c r="D247" s="584" t="s">
        <v>156</v>
      </c>
      <c r="E247" s="584" t="s">
        <v>1549</v>
      </c>
      <c r="F247" s="586" t="s">
        <v>100</v>
      </c>
    </row>
    <row r="248" spans="1:6" ht="15">
      <c r="A248" s="579" t="s">
        <v>670</v>
      </c>
      <c r="B248" s="580" t="s">
        <v>671</v>
      </c>
      <c r="C248" s="581">
        <v>0</v>
      </c>
      <c r="D248" s="580" t="s">
        <v>156</v>
      </c>
      <c r="E248" s="580" t="s">
        <v>1549</v>
      </c>
      <c r="F248" s="582" t="s">
        <v>100</v>
      </c>
    </row>
    <row r="249" spans="1:6" ht="15">
      <c r="A249" s="583" t="s">
        <v>672</v>
      </c>
      <c r="B249" s="584" t="s">
        <v>1586</v>
      </c>
      <c r="C249" s="585">
        <v>59595.99</v>
      </c>
      <c r="D249" s="584" t="s">
        <v>156</v>
      </c>
      <c r="E249" s="584" t="s">
        <v>1550</v>
      </c>
      <c r="F249" s="586" t="s">
        <v>674</v>
      </c>
    </row>
    <row r="250" spans="1:6" ht="15">
      <c r="A250" s="579" t="s">
        <v>675</v>
      </c>
      <c r="B250" s="580" t="s">
        <v>676</v>
      </c>
      <c r="C250" s="581">
        <v>0</v>
      </c>
      <c r="D250" s="580" t="s">
        <v>156</v>
      </c>
      <c r="E250" s="580" t="s">
        <v>1548</v>
      </c>
      <c r="F250" s="582" t="s">
        <v>100</v>
      </c>
    </row>
    <row r="251" spans="1:6" ht="15">
      <c r="A251" s="583" t="s">
        <v>677</v>
      </c>
      <c r="B251" s="584" t="s">
        <v>678</v>
      </c>
      <c r="C251" s="585">
        <v>0</v>
      </c>
      <c r="D251" s="584" t="s">
        <v>156</v>
      </c>
      <c r="E251" s="584" t="s">
        <v>1549</v>
      </c>
      <c r="F251" s="586" t="s">
        <v>100</v>
      </c>
    </row>
    <row r="252" spans="1:6" ht="15">
      <c r="A252" s="579" t="s">
        <v>679</v>
      </c>
      <c r="B252" s="580" t="s">
        <v>680</v>
      </c>
      <c r="C252" s="581">
        <v>0</v>
      </c>
      <c r="D252" s="580" t="s">
        <v>156</v>
      </c>
      <c r="E252" s="580" t="s">
        <v>1549</v>
      </c>
      <c r="F252" s="582" t="s">
        <v>100</v>
      </c>
    </row>
    <row r="253" spans="1:6" ht="15">
      <c r="A253" s="583" t="s">
        <v>681</v>
      </c>
      <c r="B253" s="584" t="s">
        <v>682</v>
      </c>
      <c r="C253" s="585">
        <v>0</v>
      </c>
      <c r="D253" s="584" t="s">
        <v>156</v>
      </c>
      <c r="E253" s="584" t="s">
        <v>1550</v>
      </c>
      <c r="F253" s="586" t="s">
        <v>683</v>
      </c>
    </row>
    <row r="254" spans="1:6" ht="15">
      <c r="A254" s="579" t="s">
        <v>684</v>
      </c>
      <c r="B254" s="580" t="s">
        <v>685</v>
      </c>
      <c r="C254" s="581">
        <v>0</v>
      </c>
      <c r="D254" s="580" t="s">
        <v>156</v>
      </c>
      <c r="E254" s="580" t="s">
        <v>1548</v>
      </c>
      <c r="F254" s="582" t="s">
        <v>100</v>
      </c>
    </row>
    <row r="255" spans="1:6" ht="15">
      <c r="A255" s="583" t="s">
        <v>686</v>
      </c>
      <c r="B255" s="584" t="s">
        <v>687</v>
      </c>
      <c r="C255" s="585">
        <v>221126.48</v>
      </c>
      <c r="D255" s="584" t="s">
        <v>156</v>
      </c>
      <c r="E255" s="584" t="s">
        <v>1549</v>
      </c>
      <c r="F255" s="586" t="s">
        <v>100</v>
      </c>
    </row>
    <row r="256" spans="1:6" ht="15">
      <c r="A256" s="579" t="s">
        <v>688</v>
      </c>
      <c r="B256" s="580" t="s">
        <v>689</v>
      </c>
      <c r="C256" s="581">
        <v>5768</v>
      </c>
      <c r="D256" s="580" t="s">
        <v>156</v>
      </c>
      <c r="E256" s="580" t="s">
        <v>1549</v>
      </c>
      <c r="F256" s="582" t="s">
        <v>100</v>
      </c>
    </row>
    <row r="257" spans="1:6" ht="15">
      <c r="A257" s="583" t="s">
        <v>690</v>
      </c>
      <c r="B257" s="584" t="s">
        <v>691</v>
      </c>
      <c r="C257" s="585">
        <v>105466.19</v>
      </c>
      <c r="D257" s="584" t="s">
        <v>156</v>
      </c>
      <c r="E257" s="584" t="s">
        <v>1549</v>
      </c>
      <c r="F257" s="586" t="s">
        <v>100</v>
      </c>
    </row>
    <row r="258" spans="1:6" ht="15">
      <c r="A258" s="579" t="s">
        <v>692</v>
      </c>
      <c r="B258" s="580" t="s">
        <v>693</v>
      </c>
      <c r="C258" s="581">
        <v>29176.78</v>
      </c>
      <c r="D258" s="580" t="s">
        <v>156</v>
      </c>
      <c r="E258" s="580" t="s">
        <v>1549</v>
      </c>
      <c r="F258" s="582" t="s">
        <v>100</v>
      </c>
    </row>
    <row r="259" spans="1:6" ht="15">
      <c r="A259" s="583" t="s">
        <v>694</v>
      </c>
      <c r="B259" s="584" t="s">
        <v>695</v>
      </c>
      <c r="C259" s="585">
        <v>0</v>
      </c>
      <c r="D259" s="584" t="s">
        <v>156</v>
      </c>
      <c r="E259" s="584" t="s">
        <v>1549</v>
      </c>
      <c r="F259" s="586" t="s">
        <v>100</v>
      </c>
    </row>
    <row r="260" spans="1:6" ht="15">
      <c r="A260" s="579" t="s">
        <v>696</v>
      </c>
      <c r="B260" s="580" t="s">
        <v>697</v>
      </c>
      <c r="C260" s="581">
        <v>361537.45</v>
      </c>
      <c r="D260" s="580" t="s">
        <v>156</v>
      </c>
      <c r="E260" s="580" t="s">
        <v>1550</v>
      </c>
      <c r="F260" s="582" t="s">
        <v>698</v>
      </c>
    </row>
    <row r="261" spans="1:6" ht="15">
      <c r="A261" s="583" t="s">
        <v>699</v>
      </c>
      <c r="B261" s="584" t="s">
        <v>700</v>
      </c>
      <c r="C261" s="585">
        <v>0</v>
      </c>
      <c r="D261" s="584" t="s">
        <v>156</v>
      </c>
      <c r="E261" s="584" t="s">
        <v>1548</v>
      </c>
      <c r="F261" s="586" t="s">
        <v>100</v>
      </c>
    </row>
    <row r="262" spans="1:6" ht="15">
      <c r="A262" s="579" t="s">
        <v>701</v>
      </c>
      <c r="B262" s="580" t="s">
        <v>702</v>
      </c>
      <c r="C262" s="581">
        <v>-676844.25</v>
      </c>
      <c r="D262" s="580" t="s">
        <v>156</v>
      </c>
      <c r="E262" s="580" t="s">
        <v>1549</v>
      </c>
      <c r="F262" s="582" t="s">
        <v>100</v>
      </c>
    </row>
    <row r="263" spans="1:6" ht="15">
      <c r="A263" s="583" t="s">
        <v>703</v>
      </c>
      <c r="B263" s="584" t="s">
        <v>704</v>
      </c>
      <c r="C263" s="585">
        <v>0</v>
      </c>
      <c r="D263" s="584" t="s">
        <v>156</v>
      </c>
      <c r="E263" s="584" t="s">
        <v>1549</v>
      </c>
      <c r="F263" s="586" t="s">
        <v>100</v>
      </c>
    </row>
    <row r="264" spans="1:6" ht="15">
      <c r="A264" s="579" t="s">
        <v>705</v>
      </c>
      <c r="B264" s="580" t="s">
        <v>664</v>
      </c>
      <c r="C264" s="581">
        <v>514897.09</v>
      </c>
      <c r="D264" s="580" t="s">
        <v>156</v>
      </c>
      <c r="E264" s="580" t="s">
        <v>1549</v>
      </c>
      <c r="F264" s="582" t="s">
        <v>100</v>
      </c>
    </row>
    <row r="265" spans="1:6" ht="15">
      <c r="A265" s="583" t="s">
        <v>706</v>
      </c>
      <c r="B265" s="584" t="s">
        <v>707</v>
      </c>
      <c r="C265" s="585">
        <v>154481</v>
      </c>
      <c r="D265" s="584" t="s">
        <v>156</v>
      </c>
      <c r="E265" s="584" t="s">
        <v>1549</v>
      </c>
      <c r="F265" s="586" t="s">
        <v>100</v>
      </c>
    </row>
    <row r="266" spans="1:6" ht="15">
      <c r="A266" s="579" t="s">
        <v>708</v>
      </c>
      <c r="B266" s="580" t="s">
        <v>709</v>
      </c>
      <c r="C266" s="581">
        <v>5934.91</v>
      </c>
      <c r="D266" s="580" t="s">
        <v>156</v>
      </c>
      <c r="E266" s="580" t="s">
        <v>1549</v>
      </c>
      <c r="F266" s="582" t="s">
        <v>100</v>
      </c>
    </row>
    <row r="267" spans="1:6" ht="15">
      <c r="A267" s="583" t="s">
        <v>710</v>
      </c>
      <c r="B267" s="584" t="s">
        <v>711</v>
      </c>
      <c r="C267" s="585">
        <v>86515.7</v>
      </c>
      <c r="D267" s="584" t="s">
        <v>156</v>
      </c>
      <c r="E267" s="584" t="s">
        <v>1549</v>
      </c>
      <c r="F267" s="586" t="s">
        <v>100</v>
      </c>
    </row>
    <row r="268" spans="1:6" ht="15">
      <c r="A268" s="579" t="s">
        <v>712</v>
      </c>
      <c r="B268" s="580" t="s">
        <v>713</v>
      </c>
      <c r="C268" s="581">
        <v>84984.45</v>
      </c>
      <c r="D268" s="580" t="s">
        <v>156</v>
      </c>
      <c r="E268" s="580" t="s">
        <v>1550</v>
      </c>
      <c r="F268" s="582" t="s">
        <v>714</v>
      </c>
    </row>
    <row r="269" spans="1:6" ht="15">
      <c r="A269" s="583" t="s">
        <v>715</v>
      </c>
      <c r="B269" s="584" t="s">
        <v>716</v>
      </c>
      <c r="C269" s="585">
        <v>506117.89</v>
      </c>
      <c r="D269" s="584" t="s">
        <v>156</v>
      </c>
      <c r="E269" s="584" t="s">
        <v>1550</v>
      </c>
      <c r="F269" s="586" t="s">
        <v>717</v>
      </c>
    </row>
    <row r="270" spans="1:6" ht="15">
      <c r="A270" s="579" t="s">
        <v>718</v>
      </c>
      <c r="B270" s="580" t="s">
        <v>719</v>
      </c>
      <c r="C270" s="581">
        <v>0</v>
      </c>
      <c r="D270" s="580" t="s">
        <v>156</v>
      </c>
      <c r="E270" s="580" t="s">
        <v>1548</v>
      </c>
      <c r="F270" s="582" t="s">
        <v>100</v>
      </c>
    </row>
    <row r="271" spans="1:6" ht="15">
      <c r="A271" s="583" t="s">
        <v>720</v>
      </c>
      <c r="B271" s="584" t="s">
        <v>721</v>
      </c>
      <c r="C271" s="585">
        <v>0</v>
      </c>
      <c r="D271" s="584" t="s">
        <v>156</v>
      </c>
      <c r="E271" s="584" t="s">
        <v>1548</v>
      </c>
      <c r="F271" s="586" t="s">
        <v>100</v>
      </c>
    </row>
    <row r="272" spans="1:6" ht="15">
      <c r="A272" s="579" t="s">
        <v>722</v>
      </c>
      <c r="B272" s="580" t="s">
        <v>723</v>
      </c>
      <c r="C272" s="581">
        <v>-56338.16</v>
      </c>
      <c r="D272" s="580" t="s">
        <v>156</v>
      </c>
      <c r="E272" s="580" t="s">
        <v>1549</v>
      </c>
      <c r="F272" s="582" t="s">
        <v>100</v>
      </c>
    </row>
    <row r="273" spans="1:6" ht="15">
      <c r="A273" s="583" t="s">
        <v>724</v>
      </c>
      <c r="B273" s="584" t="s">
        <v>725</v>
      </c>
      <c r="C273" s="585">
        <v>-0.6</v>
      </c>
      <c r="D273" s="584" t="s">
        <v>156</v>
      </c>
      <c r="E273" s="584" t="s">
        <v>1549</v>
      </c>
      <c r="F273" s="586" t="s">
        <v>100</v>
      </c>
    </row>
    <row r="274" spans="1:6" ht="15">
      <c r="A274" s="579" t="s">
        <v>726</v>
      </c>
      <c r="B274" s="580" t="s">
        <v>727</v>
      </c>
      <c r="C274" s="581">
        <v>-151872.16</v>
      </c>
      <c r="D274" s="580" t="s">
        <v>156</v>
      </c>
      <c r="E274" s="580" t="s">
        <v>1549</v>
      </c>
      <c r="F274" s="582" t="s">
        <v>100</v>
      </c>
    </row>
    <row r="275" spans="1:6" ht="15">
      <c r="A275" s="583" t="s">
        <v>728</v>
      </c>
      <c r="B275" s="584" t="s">
        <v>729</v>
      </c>
      <c r="C275" s="585">
        <v>236728.24</v>
      </c>
      <c r="D275" s="584" t="s">
        <v>156</v>
      </c>
      <c r="E275" s="584" t="s">
        <v>1549</v>
      </c>
      <c r="F275" s="586" t="s">
        <v>100</v>
      </c>
    </row>
    <row r="276" spans="1:6" ht="15">
      <c r="A276" s="579" t="s">
        <v>730</v>
      </c>
      <c r="B276" s="580" t="s">
        <v>731</v>
      </c>
      <c r="C276" s="581">
        <v>0</v>
      </c>
      <c r="D276" s="580" t="s">
        <v>156</v>
      </c>
      <c r="E276" s="580" t="s">
        <v>1549</v>
      </c>
      <c r="F276" s="582" t="s">
        <v>100</v>
      </c>
    </row>
    <row r="277" spans="1:6" ht="15">
      <c r="A277" s="583" t="s">
        <v>732</v>
      </c>
      <c r="B277" s="584" t="s">
        <v>733</v>
      </c>
      <c r="C277" s="585">
        <v>0</v>
      </c>
      <c r="D277" s="584" t="s">
        <v>156</v>
      </c>
      <c r="E277" s="584" t="s">
        <v>1549</v>
      </c>
      <c r="F277" s="586" t="s">
        <v>100</v>
      </c>
    </row>
    <row r="278" spans="1:6" ht="15">
      <c r="A278" s="579" t="s">
        <v>734</v>
      </c>
      <c r="B278" s="580" t="s">
        <v>735</v>
      </c>
      <c r="C278" s="581">
        <v>0</v>
      </c>
      <c r="D278" s="580" t="s">
        <v>156</v>
      </c>
      <c r="E278" s="580" t="s">
        <v>1549</v>
      </c>
      <c r="F278" s="582" t="s">
        <v>100</v>
      </c>
    </row>
    <row r="279" spans="1:6" ht="15">
      <c r="A279" s="583" t="s">
        <v>736</v>
      </c>
      <c r="B279" s="584" t="s">
        <v>737</v>
      </c>
      <c r="C279" s="585">
        <v>4201.75</v>
      </c>
      <c r="D279" s="584" t="s">
        <v>156</v>
      </c>
      <c r="E279" s="584" t="s">
        <v>1549</v>
      </c>
      <c r="F279" s="586" t="s">
        <v>100</v>
      </c>
    </row>
    <row r="280" spans="1:6" ht="15">
      <c r="A280" s="579" t="s">
        <v>738</v>
      </c>
      <c r="B280" s="580" t="s">
        <v>739</v>
      </c>
      <c r="C280" s="581">
        <v>3429.01</v>
      </c>
      <c r="D280" s="580" t="s">
        <v>156</v>
      </c>
      <c r="E280" s="580" t="s">
        <v>1549</v>
      </c>
      <c r="F280" s="582" t="s">
        <v>100</v>
      </c>
    </row>
    <row r="281" spans="1:6" ht="15">
      <c r="A281" s="583" t="s">
        <v>740</v>
      </c>
      <c r="B281" s="584" t="s">
        <v>741</v>
      </c>
      <c r="C281" s="585">
        <v>17511.12</v>
      </c>
      <c r="D281" s="584" t="s">
        <v>156</v>
      </c>
      <c r="E281" s="584" t="s">
        <v>1549</v>
      </c>
      <c r="F281" s="586" t="s">
        <v>100</v>
      </c>
    </row>
    <row r="282" spans="1:6" ht="15">
      <c r="A282" s="579" t="s">
        <v>742</v>
      </c>
      <c r="B282" s="580" t="s">
        <v>743</v>
      </c>
      <c r="C282" s="581">
        <v>4793.25</v>
      </c>
      <c r="D282" s="580" t="s">
        <v>156</v>
      </c>
      <c r="E282" s="580" t="s">
        <v>1549</v>
      </c>
      <c r="F282" s="582" t="s">
        <v>100</v>
      </c>
    </row>
    <row r="283" spans="1:6" ht="15">
      <c r="A283" s="583" t="s">
        <v>744</v>
      </c>
      <c r="B283" s="584" t="s">
        <v>536</v>
      </c>
      <c r="C283" s="585">
        <v>32899.629999999997</v>
      </c>
      <c r="D283" s="584" t="s">
        <v>156</v>
      </c>
      <c r="E283" s="584" t="s">
        <v>1549</v>
      </c>
      <c r="F283" s="586" t="s">
        <v>100</v>
      </c>
    </row>
    <row r="284" spans="1:6" ht="15">
      <c r="A284" s="579" t="s">
        <v>745</v>
      </c>
      <c r="B284" s="580" t="s">
        <v>746</v>
      </c>
      <c r="C284" s="581">
        <v>46109.41</v>
      </c>
      <c r="D284" s="580" t="s">
        <v>156</v>
      </c>
      <c r="E284" s="580" t="s">
        <v>1549</v>
      </c>
      <c r="F284" s="582" t="s">
        <v>100</v>
      </c>
    </row>
    <row r="285" spans="1:6" ht="15">
      <c r="A285" s="583" t="s">
        <v>747</v>
      </c>
      <c r="B285" s="584" t="s">
        <v>748</v>
      </c>
      <c r="C285" s="585">
        <v>151125</v>
      </c>
      <c r="D285" s="584" t="s">
        <v>156</v>
      </c>
      <c r="E285" s="584" t="s">
        <v>1549</v>
      </c>
      <c r="F285" s="586" t="s">
        <v>100</v>
      </c>
    </row>
    <row r="286" spans="1:6" ht="15">
      <c r="A286" s="579" t="s">
        <v>749</v>
      </c>
      <c r="B286" s="580" t="s">
        <v>750</v>
      </c>
      <c r="C286" s="581">
        <v>68881.25</v>
      </c>
      <c r="D286" s="580" t="s">
        <v>156</v>
      </c>
      <c r="E286" s="580" t="s">
        <v>1549</v>
      </c>
      <c r="F286" s="582" t="s">
        <v>100</v>
      </c>
    </row>
    <row r="287" spans="1:6" ht="15">
      <c r="A287" s="583" t="s">
        <v>751</v>
      </c>
      <c r="B287" s="584" t="s">
        <v>752</v>
      </c>
      <c r="C287" s="585">
        <v>72326.16</v>
      </c>
      <c r="D287" s="584" t="s">
        <v>156</v>
      </c>
      <c r="E287" s="584" t="s">
        <v>1549</v>
      </c>
      <c r="F287" s="586" t="s">
        <v>100</v>
      </c>
    </row>
    <row r="288" spans="1:6" ht="15">
      <c r="A288" s="579" t="s">
        <v>753</v>
      </c>
      <c r="B288" s="580" t="s">
        <v>220</v>
      </c>
      <c r="C288" s="581">
        <v>33940.300000000003</v>
      </c>
      <c r="D288" s="580" t="s">
        <v>156</v>
      </c>
      <c r="E288" s="580" t="s">
        <v>1549</v>
      </c>
      <c r="F288" s="582" t="s">
        <v>100</v>
      </c>
    </row>
    <row r="289" spans="1:6" ht="15">
      <c r="A289" s="583" t="s">
        <v>754</v>
      </c>
      <c r="B289" s="584" t="s">
        <v>755</v>
      </c>
      <c r="C289" s="585">
        <v>-159.47999999999999</v>
      </c>
      <c r="D289" s="584" t="s">
        <v>156</v>
      </c>
      <c r="E289" s="584" t="s">
        <v>1549</v>
      </c>
      <c r="F289" s="586" t="s">
        <v>100</v>
      </c>
    </row>
    <row r="290" spans="1:6" ht="15">
      <c r="A290" s="579" t="s">
        <v>756</v>
      </c>
      <c r="B290" s="580" t="s">
        <v>757</v>
      </c>
      <c r="C290" s="581">
        <v>0</v>
      </c>
      <c r="D290" s="580" t="s">
        <v>156</v>
      </c>
      <c r="E290" s="580" t="s">
        <v>1549</v>
      </c>
      <c r="F290" s="582" t="s">
        <v>100</v>
      </c>
    </row>
    <row r="291" spans="1:6" ht="15">
      <c r="A291" s="583" t="s">
        <v>758</v>
      </c>
      <c r="B291" s="584" t="s">
        <v>759</v>
      </c>
      <c r="C291" s="585">
        <v>463574.72</v>
      </c>
      <c r="D291" s="584" t="s">
        <v>156</v>
      </c>
      <c r="E291" s="584" t="s">
        <v>1550</v>
      </c>
      <c r="F291" s="586" t="s">
        <v>760</v>
      </c>
    </row>
    <row r="292" spans="1:6" ht="15">
      <c r="A292" s="579" t="s">
        <v>761</v>
      </c>
      <c r="B292" s="580" t="s">
        <v>762</v>
      </c>
      <c r="C292" s="581">
        <v>0</v>
      </c>
      <c r="D292" s="580" t="s">
        <v>156</v>
      </c>
      <c r="E292" s="580" t="s">
        <v>1548</v>
      </c>
      <c r="F292" s="582" t="s">
        <v>100</v>
      </c>
    </row>
    <row r="293" spans="1:6" ht="15">
      <c r="A293" s="583" t="s">
        <v>763</v>
      </c>
      <c r="B293" s="584" t="s">
        <v>764</v>
      </c>
      <c r="C293" s="585">
        <v>288828.78000000003</v>
      </c>
      <c r="D293" s="584" t="s">
        <v>156</v>
      </c>
      <c r="E293" s="584" t="s">
        <v>1549</v>
      </c>
      <c r="F293" s="586" t="s">
        <v>100</v>
      </c>
    </row>
    <row r="294" spans="1:6" ht="15">
      <c r="A294" s="579" t="s">
        <v>765</v>
      </c>
      <c r="B294" s="580" t="s">
        <v>766</v>
      </c>
      <c r="C294" s="581">
        <v>0</v>
      </c>
      <c r="D294" s="580" t="s">
        <v>156</v>
      </c>
      <c r="E294" s="580" t="s">
        <v>1549</v>
      </c>
      <c r="F294" s="582" t="s">
        <v>100</v>
      </c>
    </row>
    <row r="295" spans="1:6" ht="15">
      <c r="A295" s="583" t="s">
        <v>767</v>
      </c>
      <c r="B295" s="584" t="s">
        <v>768</v>
      </c>
      <c r="C295" s="585">
        <v>131093.42000000001</v>
      </c>
      <c r="D295" s="584" t="s">
        <v>156</v>
      </c>
      <c r="E295" s="584" t="s">
        <v>1549</v>
      </c>
      <c r="F295" s="586" t="s">
        <v>100</v>
      </c>
    </row>
    <row r="296" spans="1:6" ht="15">
      <c r="A296" s="579" t="s">
        <v>769</v>
      </c>
      <c r="B296" s="580" t="s">
        <v>770</v>
      </c>
      <c r="C296" s="581">
        <v>2317.1</v>
      </c>
      <c r="D296" s="580" t="s">
        <v>156</v>
      </c>
      <c r="E296" s="580" t="s">
        <v>1549</v>
      </c>
      <c r="F296" s="582" t="s">
        <v>100</v>
      </c>
    </row>
    <row r="297" spans="1:6" ht="15">
      <c r="A297" s="583" t="s">
        <v>771</v>
      </c>
      <c r="B297" s="584" t="s">
        <v>772</v>
      </c>
      <c r="C297" s="585">
        <v>-299.07</v>
      </c>
      <c r="D297" s="584" t="s">
        <v>156</v>
      </c>
      <c r="E297" s="584" t="s">
        <v>1549</v>
      </c>
      <c r="F297" s="586" t="s">
        <v>100</v>
      </c>
    </row>
    <row r="298" spans="1:6" ht="15">
      <c r="A298" s="579" t="s">
        <v>773</v>
      </c>
      <c r="B298" s="580" t="s">
        <v>774</v>
      </c>
      <c r="C298" s="581">
        <v>-50903.86</v>
      </c>
      <c r="D298" s="580" t="s">
        <v>156</v>
      </c>
      <c r="E298" s="580" t="s">
        <v>1549</v>
      </c>
      <c r="F298" s="582" t="s">
        <v>100</v>
      </c>
    </row>
    <row r="299" spans="1:6" ht="15">
      <c r="A299" s="583" t="s">
        <v>775</v>
      </c>
      <c r="B299" s="584" t="s">
        <v>776</v>
      </c>
      <c r="C299" s="585">
        <v>371036.37</v>
      </c>
      <c r="D299" s="584" t="s">
        <v>156</v>
      </c>
      <c r="E299" s="584" t="s">
        <v>1550</v>
      </c>
      <c r="F299" s="586" t="s">
        <v>777</v>
      </c>
    </row>
    <row r="300" spans="1:6" ht="15">
      <c r="A300" s="579" t="s">
        <v>778</v>
      </c>
      <c r="B300" s="580" t="s">
        <v>779</v>
      </c>
      <c r="C300" s="581">
        <v>0</v>
      </c>
      <c r="D300" s="580" t="s">
        <v>156</v>
      </c>
      <c r="E300" s="580" t="s">
        <v>1548</v>
      </c>
      <c r="F300" s="582" t="s">
        <v>100</v>
      </c>
    </row>
    <row r="301" spans="1:6" ht="15">
      <c r="A301" s="583" t="s">
        <v>780</v>
      </c>
      <c r="B301" s="584" t="s">
        <v>781</v>
      </c>
      <c r="C301" s="585">
        <v>133873.70000000001</v>
      </c>
      <c r="D301" s="584" t="s">
        <v>156</v>
      </c>
      <c r="E301" s="584" t="s">
        <v>1549</v>
      </c>
      <c r="F301" s="586" t="s">
        <v>100</v>
      </c>
    </row>
    <row r="302" spans="1:6" ht="15">
      <c r="A302" s="579" t="s">
        <v>782</v>
      </c>
      <c r="B302" s="580" t="s">
        <v>446</v>
      </c>
      <c r="C302" s="581">
        <v>70466.490000000005</v>
      </c>
      <c r="D302" s="580" t="s">
        <v>156</v>
      </c>
      <c r="E302" s="580" t="s">
        <v>1549</v>
      </c>
      <c r="F302" s="582" t="s">
        <v>100</v>
      </c>
    </row>
    <row r="303" spans="1:6" ht="15">
      <c r="A303" s="583" t="s">
        <v>783</v>
      </c>
      <c r="B303" s="584" t="s">
        <v>784</v>
      </c>
      <c r="C303" s="585">
        <v>0</v>
      </c>
      <c r="D303" s="584" t="s">
        <v>156</v>
      </c>
      <c r="E303" s="584" t="s">
        <v>1549</v>
      </c>
      <c r="F303" s="586" t="s">
        <v>100</v>
      </c>
    </row>
    <row r="304" spans="1:6" ht="15">
      <c r="A304" s="579" t="s">
        <v>785</v>
      </c>
      <c r="B304" s="580" t="s">
        <v>786</v>
      </c>
      <c r="C304" s="581">
        <v>204340.19</v>
      </c>
      <c r="D304" s="580" t="s">
        <v>156</v>
      </c>
      <c r="E304" s="580" t="s">
        <v>1550</v>
      </c>
      <c r="F304" s="582" t="s">
        <v>787</v>
      </c>
    </row>
    <row r="305" spans="1:6" ht="15">
      <c r="A305" s="583" t="s">
        <v>788</v>
      </c>
      <c r="B305" s="584" t="s">
        <v>789</v>
      </c>
      <c r="C305" s="585">
        <v>0</v>
      </c>
      <c r="D305" s="584" t="s">
        <v>156</v>
      </c>
      <c r="E305" s="584" t="s">
        <v>1548</v>
      </c>
      <c r="F305" s="586" t="s">
        <v>100</v>
      </c>
    </row>
    <row r="306" spans="1:6" ht="15">
      <c r="A306" s="579" t="s">
        <v>790</v>
      </c>
      <c r="B306" s="580" t="s">
        <v>733</v>
      </c>
      <c r="C306" s="581">
        <v>0</v>
      </c>
      <c r="D306" s="580" t="s">
        <v>156</v>
      </c>
      <c r="E306" s="580" t="s">
        <v>1548</v>
      </c>
      <c r="F306" s="582" t="s">
        <v>100</v>
      </c>
    </row>
    <row r="307" spans="1:6" ht="15">
      <c r="A307" s="583" t="s">
        <v>791</v>
      </c>
      <c r="B307" s="584" t="s">
        <v>792</v>
      </c>
      <c r="C307" s="585">
        <v>8585.7999999999993</v>
      </c>
      <c r="D307" s="584" t="s">
        <v>156</v>
      </c>
      <c r="E307" s="584" t="s">
        <v>1549</v>
      </c>
      <c r="F307" s="586" t="s">
        <v>100</v>
      </c>
    </row>
    <row r="308" spans="1:6" ht="15">
      <c r="A308" s="579" t="s">
        <v>793</v>
      </c>
      <c r="B308" s="580" t="s">
        <v>1587</v>
      </c>
      <c r="C308" s="581">
        <v>130181.77</v>
      </c>
      <c r="D308" s="580" t="s">
        <v>156</v>
      </c>
      <c r="E308" s="580" t="s">
        <v>1549</v>
      </c>
      <c r="F308" s="582" t="s">
        <v>100</v>
      </c>
    </row>
    <row r="309" spans="1:6" ht="15">
      <c r="A309" s="583" t="s">
        <v>795</v>
      </c>
      <c r="B309" s="584" t="s">
        <v>796</v>
      </c>
      <c r="C309" s="585">
        <v>207668.22</v>
      </c>
      <c r="D309" s="584" t="s">
        <v>156</v>
      </c>
      <c r="E309" s="584" t="s">
        <v>1549</v>
      </c>
      <c r="F309" s="586" t="s">
        <v>100</v>
      </c>
    </row>
    <row r="310" spans="1:6" ht="15">
      <c r="A310" s="579" t="s">
        <v>797</v>
      </c>
      <c r="B310" s="580" t="s">
        <v>1588</v>
      </c>
      <c r="C310" s="581">
        <v>0</v>
      </c>
      <c r="D310" s="580" t="s">
        <v>156</v>
      </c>
      <c r="E310" s="580" t="s">
        <v>1549</v>
      </c>
      <c r="F310" s="582" t="s">
        <v>100</v>
      </c>
    </row>
    <row r="311" spans="1:6" ht="15">
      <c r="A311" s="583" t="s">
        <v>799</v>
      </c>
      <c r="B311" s="584" t="s">
        <v>798</v>
      </c>
      <c r="C311" s="585">
        <v>181667.46</v>
      </c>
      <c r="D311" s="584" t="s">
        <v>156</v>
      </c>
      <c r="E311" s="584" t="s">
        <v>1549</v>
      </c>
      <c r="F311" s="586" t="s">
        <v>100</v>
      </c>
    </row>
    <row r="312" spans="1:6" ht="15">
      <c r="A312" s="579" t="s">
        <v>801</v>
      </c>
      <c r="B312" s="580" t="s">
        <v>802</v>
      </c>
      <c r="C312" s="581">
        <v>66519.58</v>
      </c>
      <c r="D312" s="580" t="s">
        <v>156</v>
      </c>
      <c r="E312" s="580" t="s">
        <v>1549</v>
      </c>
      <c r="F312" s="582" t="s">
        <v>100</v>
      </c>
    </row>
    <row r="313" spans="1:6" ht="15">
      <c r="A313" s="583" t="s">
        <v>803</v>
      </c>
      <c r="B313" s="584" t="s">
        <v>804</v>
      </c>
      <c r="C313" s="585">
        <v>894799.51</v>
      </c>
      <c r="D313" s="584" t="s">
        <v>156</v>
      </c>
      <c r="E313" s="584" t="s">
        <v>1549</v>
      </c>
      <c r="F313" s="586" t="s">
        <v>100</v>
      </c>
    </row>
    <row r="314" spans="1:6" ht="15">
      <c r="A314" s="579" t="s">
        <v>1590</v>
      </c>
      <c r="B314" s="580" t="s">
        <v>1591</v>
      </c>
      <c r="C314" s="581">
        <v>75357.25</v>
      </c>
      <c r="D314" s="580" t="s">
        <v>156</v>
      </c>
      <c r="E314" s="580" t="s">
        <v>1549</v>
      </c>
      <c r="F314" s="582" t="s">
        <v>100</v>
      </c>
    </row>
    <row r="315" spans="1:6" ht="15">
      <c r="A315" s="583" t="s">
        <v>805</v>
      </c>
      <c r="B315" s="584" t="s">
        <v>806</v>
      </c>
      <c r="C315" s="585">
        <v>1564779.59</v>
      </c>
      <c r="D315" s="584" t="s">
        <v>156</v>
      </c>
      <c r="E315" s="584" t="s">
        <v>1550</v>
      </c>
      <c r="F315" s="586" t="s">
        <v>807</v>
      </c>
    </row>
    <row r="316" spans="1:6" ht="15">
      <c r="A316" s="579" t="s">
        <v>808</v>
      </c>
      <c r="B316" s="580" t="s">
        <v>735</v>
      </c>
      <c r="C316" s="581">
        <v>0</v>
      </c>
      <c r="D316" s="580" t="s">
        <v>156</v>
      </c>
      <c r="E316" s="580" t="s">
        <v>1548</v>
      </c>
      <c r="F316" s="582" t="s">
        <v>100</v>
      </c>
    </row>
    <row r="317" spans="1:6" ht="15">
      <c r="A317" s="583" t="s">
        <v>809</v>
      </c>
      <c r="B317" s="584" t="s">
        <v>735</v>
      </c>
      <c r="C317" s="585">
        <v>0</v>
      </c>
      <c r="D317" s="584" t="s">
        <v>156</v>
      </c>
      <c r="E317" s="584" t="s">
        <v>1549</v>
      </c>
      <c r="F317" s="586" t="s">
        <v>100</v>
      </c>
    </row>
    <row r="318" spans="1:6" ht="15">
      <c r="A318" s="579" t="s">
        <v>810</v>
      </c>
      <c r="B318" s="580" t="s">
        <v>811</v>
      </c>
      <c r="C318" s="581">
        <v>0</v>
      </c>
      <c r="D318" s="580" t="s">
        <v>156</v>
      </c>
      <c r="E318" s="580" t="s">
        <v>1550</v>
      </c>
      <c r="F318" s="582" t="s">
        <v>812</v>
      </c>
    </row>
    <row r="319" spans="1:6" ht="15">
      <c r="A319" s="583" t="s">
        <v>813</v>
      </c>
      <c r="B319" s="584" t="s">
        <v>814</v>
      </c>
      <c r="C319" s="585">
        <v>1564779.59</v>
      </c>
      <c r="D319" s="584" t="s">
        <v>156</v>
      </c>
      <c r="E319" s="584" t="s">
        <v>1550</v>
      </c>
      <c r="F319" s="586" t="s">
        <v>815</v>
      </c>
    </row>
    <row r="320" spans="1:6" ht="15">
      <c r="A320" s="579" t="s">
        <v>816</v>
      </c>
      <c r="B320" s="580" t="s">
        <v>817</v>
      </c>
      <c r="C320" s="581">
        <v>0</v>
      </c>
      <c r="D320" s="580" t="s">
        <v>156</v>
      </c>
      <c r="E320" s="580" t="s">
        <v>1548</v>
      </c>
      <c r="F320" s="582" t="s">
        <v>100</v>
      </c>
    </row>
    <row r="321" spans="1:6" ht="15">
      <c r="A321" s="583" t="s">
        <v>818</v>
      </c>
      <c r="B321" s="584" t="s">
        <v>819</v>
      </c>
      <c r="C321" s="585">
        <v>65625</v>
      </c>
      <c r="D321" s="584" t="s">
        <v>156</v>
      </c>
      <c r="E321" s="584" t="s">
        <v>1549</v>
      </c>
      <c r="F321" s="586" t="s">
        <v>100</v>
      </c>
    </row>
    <row r="322" spans="1:6" ht="15">
      <c r="A322" s="579" t="s">
        <v>820</v>
      </c>
      <c r="B322" s="580" t="s">
        <v>821</v>
      </c>
      <c r="C322" s="581">
        <v>65625</v>
      </c>
      <c r="D322" s="580" t="s">
        <v>156</v>
      </c>
      <c r="E322" s="580" t="s">
        <v>1550</v>
      </c>
      <c r="F322" s="582" t="s">
        <v>822</v>
      </c>
    </row>
    <row r="323" spans="1:6" ht="15">
      <c r="A323" s="583" t="s">
        <v>823</v>
      </c>
      <c r="B323" s="584" t="s">
        <v>824</v>
      </c>
      <c r="C323" s="585">
        <v>0</v>
      </c>
      <c r="D323" s="584" t="s">
        <v>156</v>
      </c>
      <c r="E323" s="584" t="s">
        <v>1548</v>
      </c>
      <c r="F323" s="586" t="s">
        <v>100</v>
      </c>
    </row>
    <row r="324" spans="1:6" ht="15">
      <c r="A324" s="579" t="s">
        <v>825</v>
      </c>
      <c r="B324" s="580" t="s">
        <v>826</v>
      </c>
      <c r="C324" s="581">
        <v>47002.080000000002</v>
      </c>
      <c r="D324" s="580" t="s">
        <v>156</v>
      </c>
      <c r="E324" s="580" t="s">
        <v>1549</v>
      </c>
      <c r="F324" s="582" t="s">
        <v>100</v>
      </c>
    </row>
    <row r="325" spans="1:6" ht="15">
      <c r="A325" s="583" t="s">
        <v>827</v>
      </c>
      <c r="B325" s="584" t="s">
        <v>828</v>
      </c>
      <c r="C325" s="585">
        <v>47002.080000000002</v>
      </c>
      <c r="D325" s="584" t="s">
        <v>156</v>
      </c>
      <c r="E325" s="584" t="s">
        <v>1550</v>
      </c>
      <c r="F325" s="586" t="s">
        <v>829</v>
      </c>
    </row>
    <row r="326" spans="1:6" ht="15">
      <c r="A326" s="579" t="s">
        <v>830</v>
      </c>
      <c r="B326" s="580" t="s">
        <v>831</v>
      </c>
      <c r="C326" s="581">
        <v>2716357.95</v>
      </c>
      <c r="D326" s="580" t="s">
        <v>156</v>
      </c>
      <c r="E326" s="580" t="s">
        <v>1550</v>
      </c>
      <c r="F326" s="582" t="s">
        <v>832</v>
      </c>
    </row>
    <row r="327" spans="1:6" ht="15">
      <c r="A327" s="583" t="s">
        <v>833</v>
      </c>
      <c r="B327" s="584" t="s">
        <v>97</v>
      </c>
      <c r="C327" s="585">
        <v>0</v>
      </c>
      <c r="D327" s="584" t="s">
        <v>156</v>
      </c>
      <c r="E327" s="584" t="s">
        <v>1548</v>
      </c>
      <c r="F327" s="586" t="s">
        <v>100</v>
      </c>
    </row>
    <row r="328" spans="1:6" ht="15">
      <c r="A328" s="579" t="s">
        <v>834</v>
      </c>
      <c r="B328" s="580" t="s">
        <v>835</v>
      </c>
      <c r="C328" s="581">
        <v>166.16</v>
      </c>
      <c r="D328" s="580" t="s">
        <v>156</v>
      </c>
      <c r="E328" s="580" t="s">
        <v>1549</v>
      </c>
      <c r="F328" s="582" t="s">
        <v>100</v>
      </c>
    </row>
    <row r="329" spans="1:6" ht="15">
      <c r="A329" s="583" t="s">
        <v>836</v>
      </c>
      <c r="B329" s="584" t="s">
        <v>837</v>
      </c>
      <c r="C329" s="585">
        <v>24780.37</v>
      </c>
      <c r="D329" s="584" t="s">
        <v>156</v>
      </c>
      <c r="E329" s="584" t="s">
        <v>1549</v>
      </c>
      <c r="F329" s="586" t="s">
        <v>100</v>
      </c>
    </row>
    <row r="330" spans="1:6" ht="15">
      <c r="A330" s="579" t="s">
        <v>1592</v>
      </c>
      <c r="B330" s="580" t="s">
        <v>1593</v>
      </c>
      <c r="C330" s="581">
        <v>-1612.74</v>
      </c>
      <c r="D330" s="580" t="s">
        <v>156</v>
      </c>
      <c r="E330" s="580" t="s">
        <v>1549</v>
      </c>
      <c r="F330" s="582" t="s">
        <v>100</v>
      </c>
    </row>
    <row r="331" spans="1:6" ht="15">
      <c r="A331" s="583" t="s">
        <v>838</v>
      </c>
      <c r="B331" s="584" t="s">
        <v>839</v>
      </c>
      <c r="C331" s="585">
        <v>23333.79</v>
      </c>
      <c r="D331" s="584" t="s">
        <v>156</v>
      </c>
      <c r="E331" s="584" t="s">
        <v>1550</v>
      </c>
      <c r="F331" s="586" t="s">
        <v>840</v>
      </c>
    </row>
    <row r="332" spans="1:6" ht="15">
      <c r="A332" s="579" t="s">
        <v>841</v>
      </c>
      <c r="B332" s="580" t="s">
        <v>1152</v>
      </c>
      <c r="C332" s="581">
        <v>17489047.43</v>
      </c>
      <c r="D332" s="580" t="s">
        <v>156</v>
      </c>
      <c r="E332" s="580" t="s">
        <v>1550</v>
      </c>
      <c r="F332" s="582" t="s">
        <v>843</v>
      </c>
    </row>
    <row r="333" spans="1:6" ht="15">
      <c r="A333" s="583" t="s">
        <v>844</v>
      </c>
      <c r="B333" s="584" t="s">
        <v>1594</v>
      </c>
      <c r="C333" s="585">
        <v>0</v>
      </c>
      <c r="D333" s="584" t="s">
        <v>156</v>
      </c>
      <c r="E333" s="584" t="s">
        <v>1548</v>
      </c>
      <c r="F333" s="586" t="s">
        <v>100</v>
      </c>
    </row>
    <row r="334" spans="1:6" ht="15">
      <c r="A334" s="579" t="s">
        <v>846</v>
      </c>
      <c r="B334" s="580" t="s">
        <v>847</v>
      </c>
      <c r="C334" s="581">
        <v>368179.49</v>
      </c>
      <c r="D334" s="580" t="s">
        <v>156</v>
      </c>
      <c r="E334" s="580" t="s">
        <v>1549</v>
      </c>
      <c r="F334" s="582" t="s">
        <v>100</v>
      </c>
    </row>
    <row r="335" spans="1:6" ht="15">
      <c r="A335" s="583" t="s">
        <v>848</v>
      </c>
      <c r="B335" s="584" t="s">
        <v>1533</v>
      </c>
      <c r="C335" s="585">
        <v>0</v>
      </c>
      <c r="D335" s="584" t="s">
        <v>156</v>
      </c>
      <c r="E335" s="584" t="s">
        <v>1549</v>
      </c>
      <c r="F335" s="586" t="s">
        <v>100</v>
      </c>
    </row>
    <row r="336" spans="1:6" ht="15">
      <c r="A336" s="579" t="s">
        <v>850</v>
      </c>
      <c r="B336" s="580" t="s">
        <v>851</v>
      </c>
      <c r="C336" s="581">
        <v>368179.49</v>
      </c>
      <c r="D336" s="580" t="s">
        <v>156</v>
      </c>
      <c r="E336" s="580" t="s">
        <v>1550</v>
      </c>
      <c r="F336" s="582" t="s">
        <v>852</v>
      </c>
    </row>
    <row r="337" spans="1:6" ht="15">
      <c r="A337" s="583" t="s">
        <v>853</v>
      </c>
      <c r="B337" s="584" t="s">
        <v>854</v>
      </c>
      <c r="C337" s="585">
        <v>0</v>
      </c>
      <c r="D337" s="584" t="s">
        <v>156</v>
      </c>
      <c r="E337" s="584" t="s">
        <v>1548</v>
      </c>
      <c r="F337" s="586" t="s">
        <v>100</v>
      </c>
    </row>
    <row r="338" spans="1:6" ht="15">
      <c r="A338" s="579" t="s">
        <v>855</v>
      </c>
      <c r="B338" s="580" t="s">
        <v>1595</v>
      </c>
      <c r="C338" s="581">
        <v>0</v>
      </c>
      <c r="D338" s="580" t="s">
        <v>156</v>
      </c>
      <c r="E338" s="580" t="s">
        <v>1549</v>
      </c>
      <c r="F338" s="582" t="s">
        <v>100</v>
      </c>
    </row>
    <row r="339" spans="1:6" ht="15">
      <c r="A339" s="583" t="s">
        <v>857</v>
      </c>
      <c r="B339" s="584" t="s">
        <v>858</v>
      </c>
      <c r="C339" s="585">
        <v>0</v>
      </c>
      <c r="D339" s="584" t="s">
        <v>156</v>
      </c>
      <c r="E339" s="584" t="s">
        <v>1549</v>
      </c>
      <c r="F339" s="586" t="s">
        <v>100</v>
      </c>
    </row>
    <row r="340" spans="1:6" ht="15">
      <c r="A340" s="579" t="s">
        <v>859</v>
      </c>
      <c r="B340" s="580" t="s">
        <v>1596</v>
      </c>
      <c r="C340" s="581">
        <v>-95463.679999999993</v>
      </c>
      <c r="D340" s="580" t="s">
        <v>156</v>
      </c>
      <c r="E340" s="580" t="s">
        <v>1549</v>
      </c>
      <c r="F340" s="582" t="s">
        <v>100</v>
      </c>
    </row>
    <row r="341" spans="1:6" ht="15">
      <c r="A341" s="583" t="s">
        <v>861</v>
      </c>
      <c r="B341" s="584" t="s">
        <v>862</v>
      </c>
      <c r="C341" s="585">
        <v>272715.81</v>
      </c>
      <c r="D341" s="584" t="s">
        <v>156</v>
      </c>
      <c r="E341" s="584" t="s">
        <v>1584</v>
      </c>
      <c r="F341" s="586" t="s">
        <v>863</v>
      </c>
    </row>
    <row r="342" spans="1:6" ht="15">
      <c r="A342" s="579" t="s">
        <v>864</v>
      </c>
      <c r="B342" s="580" t="s">
        <v>1152</v>
      </c>
      <c r="C342" s="581">
        <v>17761763.239999998</v>
      </c>
      <c r="D342" s="580" t="s">
        <v>156</v>
      </c>
      <c r="E342" s="580" t="s">
        <v>1584</v>
      </c>
      <c r="F342" s="582" t="s">
        <v>866</v>
      </c>
    </row>
    <row r="343" spans="1:6" ht="15">
      <c r="A343" s="583" t="s">
        <v>867</v>
      </c>
      <c r="B343" s="584" t="s">
        <v>868</v>
      </c>
      <c r="C343" s="585">
        <v>701906.29</v>
      </c>
      <c r="D343" s="584" t="s">
        <v>156</v>
      </c>
      <c r="E343" s="584" t="s">
        <v>1584</v>
      </c>
      <c r="F343" s="586" t="s">
        <v>869</v>
      </c>
    </row>
    <row r="344" spans="1:6" ht="15">
      <c r="A344" s="579" t="s">
        <v>870</v>
      </c>
      <c r="B344" s="580" t="s">
        <v>871</v>
      </c>
      <c r="C344" s="581">
        <v>0</v>
      </c>
      <c r="D344" s="580" t="s">
        <v>872</v>
      </c>
      <c r="E344" s="580" t="s">
        <v>1548</v>
      </c>
      <c r="F344" s="582" t="s">
        <v>100</v>
      </c>
    </row>
    <row r="345" spans="1:6" ht="15">
      <c r="A345" s="583" t="s">
        <v>873</v>
      </c>
      <c r="B345" s="584" t="s">
        <v>874</v>
      </c>
      <c r="C345" s="585">
        <v>0</v>
      </c>
      <c r="D345" s="584" t="s">
        <v>872</v>
      </c>
      <c r="E345" s="584" t="s">
        <v>1548</v>
      </c>
      <c r="F345" s="586" t="s">
        <v>100</v>
      </c>
    </row>
    <row r="346" spans="1:6" ht="15">
      <c r="A346" s="579" t="s">
        <v>875</v>
      </c>
      <c r="B346" s="580" t="s">
        <v>876</v>
      </c>
      <c r="C346" s="581">
        <v>0</v>
      </c>
      <c r="D346" s="580" t="s">
        <v>872</v>
      </c>
      <c r="E346" s="580" t="s">
        <v>1548</v>
      </c>
      <c r="F346" s="582" t="s">
        <v>100</v>
      </c>
    </row>
    <row r="347" spans="1:6" ht="15">
      <c r="A347" s="583" t="s">
        <v>877</v>
      </c>
      <c r="B347" s="584" t="s">
        <v>878</v>
      </c>
      <c r="C347" s="585">
        <v>28721875</v>
      </c>
      <c r="D347" s="584" t="s">
        <v>872</v>
      </c>
      <c r="E347" s="584" t="s">
        <v>1549</v>
      </c>
      <c r="F347" s="586" t="s">
        <v>100</v>
      </c>
    </row>
    <row r="348" spans="1:6" ht="15">
      <c r="A348" s="579" t="s">
        <v>879</v>
      </c>
      <c r="B348" s="580" t="s">
        <v>880</v>
      </c>
      <c r="C348" s="581">
        <v>25377042.09</v>
      </c>
      <c r="D348" s="580" t="s">
        <v>872</v>
      </c>
      <c r="E348" s="580" t="s">
        <v>1549</v>
      </c>
      <c r="F348" s="582" t="s">
        <v>100</v>
      </c>
    </row>
    <row r="349" spans="1:6" ht="15">
      <c r="A349" s="583" t="s">
        <v>881</v>
      </c>
      <c r="B349" s="584" t="s">
        <v>882</v>
      </c>
      <c r="C349" s="585">
        <v>3537200</v>
      </c>
      <c r="D349" s="584" t="s">
        <v>872</v>
      </c>
      <c r="E349" s="584" t="s">
        <v>1549</v>
      </c>
      <c r="F349" s="586" t="s">
        <v>100</v>
      </c>
    </row>
    <row r="350" spans="1:6" ht="15">
      <c r="A350" s="579" t="s">
        <v>883</v>
      </c>
      <c r="B350" s="580" t="s">
        <v>884</v>
      </c>
      <c r="C350" s="581">
        <v>101601</v>
      </c>
      <c r="D350" s="580" t="s">
        <v>872</v>
      </c>
      <c r="E350" s="580" t="s">
        <v>1549</v>
      </c>
      <c r="F350" s="582" t="s">
        <v>100</v>
      </c>
    </row>
    <row r="351" spans="1:6" ht="15">
      <c r="A351" s="583" t="s">
        <v>885</v>
      </c>
      <c r="B351" s="584" t="s">
        <v>886</v>
      </c>
      <c r="C351" s="585">
        <v>140400</v>
      </c>
      <c r="D351" s="584" t="s">
        <v>872</v>
      </c>
      <c r="E351" s="584" t="s">
        <v>1549</v>
      </c>
      <c r="F351" s="586" t="s">
        <v>100</v>
      </c>
    </row>
    <row r="352" spans="1:6" ht="15">
      <c r="A352" s="579" t="s">
        <v>887</v>
      </c>
      <c r="B352" s="580" t="s">
        <v>888</v>
      </c>
      <c r="C352" s="581">
        <v>134200</v>
      </c>
      <c r="D352" s="580" t="s">
        <v>872</v>
      </c>
      <c r="E352" s="580" t="s">
        <v>1549</v>
      </c>
      <c r="F352" s="582" t="s">
        <v>100</v>
      </c>
    </row>
    <row r="353" spans="1:6" ht="15">
      <c r="A353" s="583" t="s">
        <v>1597</v>
      </c>
      <c r="B353" s="584" t="s">
        <v>1582</v>
      </c>
      <c r="C353" s="585">
        <v>-277565.53000000003</v>
      </c>
      <c r="D353" s="584" t="s">
        <v>872</v>
      </c>
      <c r="E353" s="584" t="s">
        <v>1549</v>
      </c>
      <c r="F353" s="586" t="s">
        <v>100</v>
      </c>
    </row>
    <row r="354" spans="1:6" ht="15">
      <c r="A354" s="579" t="s">
        <v>1598</v>
      </c>
      <c r="B354" s="580" t="s">
        <v>1599</v>
      </c>
      <c r="C354" s="581">
        <v>0</v>
      </c>
      <c r="D354" s="580" t="s">
        <v>872</v>
      </c>
      <c r="E354" s="580" t="s">
        <v>1549</v>
      </c>
      <c r="F354" s="582" t="s">
        <v>100</v>
      </c>
    </row>
    <row r="355" spans="1:6" ht="15">
      <c r="A355" s="583" t="s">
        <v>889</v>
      </c>
      <c r="B355" s="584" t="s">
        <v>890</v>
      </c>
      <c r="C355" s="585">
        <v>57734752.560000002</v>
      </c>
      <c r="D355" s="584" t="s">
        <v>872</v>
      </c>
      <c r="E355" s="584" t="s">
        <v>1550</v>
      </c>
      <c r="F355" s="586" t="s">
        <v>891</v>
      </c>
    </row>
    <row r="356" spans="1:6" ht="15">
      <c r="A356" s="579" t="s">
        <v>892</v>
      </c>
      <c r="B356" s="580" t="s">
        <v>893</v>
      </c>
      <c r="C356" s="581">
        <v>0</v>
      </c>
      <c r="D356" s="580" t="s">
        <v>872</v>
      </c>
      <c r="E356" s="580" t="s">
        <v>1548</v>
      </c>
      <c r="F356" s="582" t="s">
        <v>100</v>
      </c>
    </row>
    <row r="357" spans="1:6" ht="15">
      <c r="A357" s="583" t="s">
        <v>894</v>
      </c>
      <c r="B357" s="584" t="s">
        <v>895</v>
      </c>
      <c r="C357" s="585">
        <v>56000</v>
      </c>
      <c r="D357" s="584" t="s">
        <v>872</v>
      </c>
      <c r="E357" s="584" t="s">
        <v>1549</v>
      </c>
      <c r="F357" s="586" t="s">
        <v>100</v>
      </c>
    </row>
    <row r="358" spans="1:6" ht="15">
      <c r="A358" s="579" t="s">
        <v>896</v>
      </c>
      <c r="B358" s="580" t="s">
        <v>897</v>
      </c>
      <c r="C358" s="581">
        <v>56000</v>
      </c>
      <c r="D358" s="580" t="s">
        <v>872</v>
      </c>
      <c r="E358" s="580" t="s">
        <v>1550</v>
      </c>
      <c r="F358" s="582" t="s">
        <v>898</v>
      </c>
    </row>
    <row r="359" spans="1:6" ht="15">
      <c r="A359" s="583" t="s">
        <v>1600</v>
      </c>
      <c r="B359" s="584" t="s">
        <v>1601</v>
      </c>
      <c r="C359" s="585">
        <v>0</v>
      </c>
      <c r="D359" s="584" t="s">
        <v>872</v>
      </c>
      <c r="E359" s="584" t="s">
        <v>1548</v>
      </c>
      <c r="F359" s="586" t="s">
        <v>100</v>
      </c>
    </row>
    <row r="360" spans="1:6" ht="15">
      <c r="A360" s="579" t="s">
        <v>1602</v>
      </c>
      <c r="B360" s="580" t="s">
        <v>1603</v>
      </c>
      <c r="C360" s="581">
        <v>1307879.8</v>
      </c>
      <c r="D360" s="580" t="s">
        <v>872</v>
      </c>
      <c r="E360" s="580" t="s">
        <v>1549</v>
      </c>
      <c r="F360" s="582" t="s">
        <v>100</v>
      </c>
    </row>
    <row r="361" spans="1:6" ht="15">
      <c r="A361" s="583" t="s">
        <v>1604</v>
      </c>
      <c r="B361" s="584" t="s">
        <v>1605</v>
      </c>
      <c r="C361" s="585">
        <v>1307879.8</v>
      </c>
      <c r="D361" s="584" t="s">
        <v>872</v>
      </c>
      <c r="E361" s="584" t="s">
        <v>1550</v>
      </c>
      <c r="F361" s="586" t="s">
        <v>1606</v>
      </c>
    </row>
    <row r="362" spans="1:6" ht="15">
      <c r="A362" s="579" t="s">
        <v>899</v>
      </c>
      <c r="B362" s="580" t="s">
        <v>900</v>
      </c>
      <c r="C362" s="581">
        <v>0</v>
      </c>
      <c r="D362" s="580" t="s">
        <v>872</v>
      </c>
      <c r="E362" s="580" t="s">
        <v>1548</v>
      </c>
      <c r="F362" s="582" t="s">
        <v>100</v>
      </c>
    </row>
    <row r="363" spans="1:6" ht="15">
      <c r="A363" s="583" t="s">
        <v>901</v>
      </c>
      <c r="B363" s="584" t="s">
        <v>902</v>
      </c>
      <c r="C363" s="585">
        <v>2930114.5600000001</v>
      </c>
      <c r="D363" s="584" t="s">
        <v>872</v>
      </c>
      <c r="E363" s="584" t="s">
        <v>1549</v>
      </c>
      <c r="F363" s="586" t="s">
        <v>100</v>
      </c>
    </row>
    <row r="364" spans="1:6" ht="15">
      <c r="A364" s="579" t="s">
        <v>903</v>
      </c>
      <c r="B364" s="580" t="s">
        <v>904</v>
      </c>
      <c r="C364" s="581">
        <v>37500</v>
      </c>
      <c r="D364" s="580" t="s">
        <v>872</v>
      </c>
      <c r="E364" s="580" t="s">
        <v>1549</v>
      </c>
      <c r="F364" s="582" t="s">
        <v>100</v>
      </c>
    </row>
    <row r="365" spans="1:6" ht="15">
      <c r="A365" s="583" t="s">
        <v>905</v>
      </c>
      <c r="B365" s="584" t="s">
        <v>906</v>
      </c>
      <c r="C365" s="585">
        <v>8250</v>
      </c>
      <c r="D365" s="584" t="s">
        <v>872</v>
      </c>
      <c r="E365" s="584" t="s">
        <v>1549</v>
      </c>
      <c r="F365" s="586" t="s">
        <v>100</v>
      </c>
    </row>
    <row r="366" spans="1:6" ht="15">
      <c r="A366" s="579" t="s">
        <v>907</v>
      </c>
      <c r="B366" s="580" t="s">
        <v>908</v>
      </c>
      <c r="C366" s="581">
        <v>1339102.5</v>
      </c>
      <c r="D366" s="580" t="s">
        <v>872</v>
      </c>
      <c r="E366" s="580" t="s">
        <v>1549</v>
      </c>
      <c r="F366" s="582" t="s">
        <v>100</v>
      </c>
    </row>
    <row r="367" spans="1:6" ht="15">
      <c r="A367" s="583" t="s">
        <v>909</v>
      </c>
      <c r="B367" s="584" t="s">
        <v>910</v>
      </c>
      <c r="C367" s="585">
        <v>-31248</v>
      </c>
      <c r="D367" s="584" t="s">
        <v>872</v>
      </c>
      <c r="E367" s="584" t="s">
        <v>1549</v>
      </c>
      <c r="F367" s="586" t="s">
        <v>100</v>
      </c>
    </row>
    <row r="368" spans="1:6" ht="15">
      <c r="A368" s="579" t="s">
        <v>911</v>
      </c>
      <c r="B368" s="580" t="s">
        <v>912</v>
      </c>
      <c r="C368" s="581">
        <v>1500000</v>
      </c>
      <c r="D368" s="580" t="s">
        <v>872</v>
      </c>
      <c r="E368" s="580" t="s">
        <v>1549</v>
      </c>
      <c r="F368" s="582" t="s">
        <v>100</v>
      </c>
    </row>
    <row r="369" spans="1:6" ht="15">
      <c r="A369" s="583" t="s">
        <v>913</v>
      </c>
      <c r="B369" s="584" t="s">
        <v>914</v>
      </c>
      <c r="C369" s="585">
        <v>5783719.0599999996</v>
      </c>
      <c r="D369" s="584" t="s">
        <v>872</v>
      </c>
      <c r="E369" s="584" t="s">
        <v>1550</v>
      </c>
      <c r="F369" s="586" t="s">
        <v>915</v>
      </c>
    </row>
    <row r="370" spans="1:6" ht="15">
      <c r="A370" s="579" t="s">
        <v>916</v>
      </c>
      <c r="B370" s="580" t="s">
        <v>917</v>
      </c>
      <c r="C370" s="581">
        <v>64882351.420000002</v>
      </c>
      <c r="D370" s="580" t="s">
        <v>872</v>
      </c>
      <c r="E370" s="580" t="s">
        <v>1550</v>
      </c>
      <c r="F370" s="582" t="s">
        <v>918</v>
      </c>
    </row>
    <row r="371" spans="1:6" ht="15">
      <c r="A371" s="583" t="s">
        <v>919</v>
      </c>
      <c r="B371" s="584" t="s">
        <v>920</v>
      </c>
      <c r="C371" s="585">
        <v>0</v>
      </c>
      <c r="D371" s="584" t="s">
        <v>872</v>
      </c>
      <c r="E371" s="584" t="s">
        <v>1548</v>
      </c>
      <c r="F371" s="586" t="s">
        <v>100</v>
      </c>
    </row>
    <row r="372" spans="1:6" ht="15">
      <c r="A372" s="579" t="s">
        <v>921</v>
      </c>
      <c r="B372" s="580" t="s">
        <v>922</v>
      </c>
      <c r="C372" s="581">
        <v>0</v>
      </c>
      <c r="D372" s="580" t="s">
        <v>872</v>
      </c>
      <c r="E372" s="580" t="s">
        <v>1548</v>
      </c>
      <c r="F372" s="582" t="s">
        <v>100</v>
      </c>
    </row>
    <row r="373" spans="1:6" ht="15">
      <c r="A373" s="583" t="s">
        <v>923</v>
      </c>
      <c r="B373" s="584" t="s">
        <v>924</v>
      </c>
      <c r="C373" s="585">
        <v>290667.11</v>
      </c>
      <c r="D373" s="584" t="s">
        <v>872</v>
      </c>
      <c r="E373" s="584" t="s">
        <v>1549</v>
      </c>
      <c r="F373" s="586" t="s">
        <v>100</v>
      </c>
    </row>
    <row r="374" spans="1:6" ht="15">
      <c r="A374" s="579" t="s">
        <v>925</v>
      </c>
      <c r="B374" s="580" t="s">
        <v>926</v>
      </c>
      <c r="C374" s="581">
        <v>0</v>
      </c>
      <c r="D374" s="580" t="s">
        <v>872</v>
      </c>
      <c r="E374" s="580" t="s">
        <v>1549</v>
      </c>
      <c r="F374" s="582" t="s">
        <v>100</v>
      </c>
    </row>
    <row r="375" spans="1:6" ht="15">
      <c r="A375" s="583" t="s">
        <v>927</v>
      </c>
      <c r="B375" s="584" t="s">
        <v>1607</v>
      </c>
      <c r="C375" s="585">
        <v>0</v>
      </c>
      <c r="D375" s="584" t="s">
        <v>872</v>
      </c>
      <c r="E375" s="584" t="s">
        <v>1549</v>
      </c>
      <c r="F375" s="586" t="s">
        <v>100</v>
      </c>
    </row>
    <row r="376" spans="1:6" ht="15">
      <c r="A376" s="579" t="s">
        <v>929</v>
      </c>
      <c r="B376" s="580" t="s">
        <v>930</v>
      </c>
      <c r="C376" s="581">
        <v>0</v>
      </c>
      <c r="D376" s="580" t="s">
        <v>872</v>
      </c>
      <c r="E376" s="580" t="s">
        <v>1549</v>
      </c>
      <c r="F376" s="582" t="s">
        <v>100</v>
      </c>
    </row>
    <row r="377" spans="1:6" ht="15">
      <c r="A377" s="583" t="s">
        <v>931</v>
      </c>
      <c r="B377" s="584" t="s">
        <v>1608</v>
      </c>
      <c r="C377" s="585">
        <v>276030.17</v>
      </c>
      <c r="D377" s="584" t="s">
        <v>872</v>
      </c>
      <c r="E377" s="584" t="s">
        <v>1549</v>
      </c>
      <c r="F377" s="586" t="s">
        <v>100</v>
      </c>
    </row>
    <row r="378" spans="1:6" ht="15">
      <c r="A378" s="579" t="s">
        <v>933</v>
      </c>
      <c r="B378" s="580" t="s">
        <v>1609</v>
      </c>
      <c r="C378" s="581">
        <v>1000000</v>
      </c>
      <c r="D378" s="580" t="s">
        <v>872</v>
      </c>
      <c r="E378" s="580" t="s">
        <v>1549</v>
      </c>
      <c r="F378" s="582" t="s">
        <v>100</v>
      </c>
    </row>
    <row r="379" spans="1:6" ht="15">
      <c r="A379" s="583" t="s">
        <v>935</v>
      </c>
      <c r="B379" s="584" t="s">
        <v>936</v>
      </c>
      <c r="C379" s="585">
        <v>115000</v>
      </c>
      <c r="D379" s="584" t="s">
        <v>872</v>
      </c>
      <c r="E379" s="584" t="s">
        <v>1549</v>
      </c>
      <c r="F379" s="586" t="s">
        <v>100</v>
      </c>
    </row>
    <row r="380" spans="1:6" ht="15">
      <c r="A380" s="579" t="s">
        <v>937</v>
      </c>
      <c r="B380" s="580" t="s">
        <v>938</v>
      </c>
      <c r="C380" s="581">
        <v>1681697.28</v>
      </c>
      <c r="D380" s="580" t="s">
        <v>872</v>
      </c>
      <c r="E380" s="580" t="s">
        <v>1550</v>
      </c>
      <c r="F380" s="582" t="s">
        <v>939</v>
      </c>
    </row>
    <row r="381" spans="1:6" ht="15">
      <c r="A381" s="583" t="s">
        <v>940</v>
      </c>
      <c r="B381" s="584" t="s">
        <v>941</v>
      </c>
      <c r="C381" s="585">
        <v>0</v>
      </c>
      <c r="D381" s="584" t="s">
        <v>872</v>
      </c>
      <c r="E381" s="584" t="s">
        <v>1548</v>
      </c>
      <c r="F381" s="586" t="s">
        <v>100</v>
      </c>
    </row>
    <row r="382" spans="1:6" ht="15">
      <c r="A382" s="579" t="s">
        <v>942</v>
      </c>
      <c r="B382" s="580" t="s">
        <v>943</v>
      </c>
      <c r="C382" s="581">
        <v>13500</v>
      </c>
      <c r="D382" s="580" t="s">
        <v>872</v>
      </c>
      <c r="E382" s="580" t="s">
        <v>1549</v>
      </c>
      <c r="F382" s="582" t="s">
        <v>100</v>
      </c>
    </row>
    <row r="383" spans="1:6" ht="15">
      <c r="A383" s="583" t="s">
        <v>944</v>
      </c>
      <c r="B383" s="584" t="s">
        <v>945</v>
      </c>
      <c r="C383" s="585">
        <v>5000</v>
      </c>
      <c r="D383" s="584" t="s">
        <v>872</v>
      </c>
      <c r="E383" s="584" t="s">
        <v>1549</v>
      </c>
      <c r="F383" s="586" t="s">
        <v>100</v>
      </c>
    </row>
    <row r="384" spans="1:6" ht="15">
      <c r="A384" s="579" t="s">
        <v>946</v>
      </c>
      <c r="B384" s="580" t="s">
        <v>947</v>
      </c>
      <c r="C384" s="581">
        <v>0</v>
      </c>
      <c r="D384" s="580" t="s">
        <v>872</v>
      </c>
      <c r="E384" s="580" t="s">
        <v>1549</v>
      </c>
      <c r="F384" s="582" t="s">
        <v>100</v>
      </c>
    </row>
    <row r="385" spans="1:6" ht="15">
      <c r="A385" s="583" t="s">
        <v>948</v>
      </c>
      <c r="B385" s="584" t="s">
        <v>949</v>
      </c>
      <c r="C385" s="585">
        <v>0</v>
      </c>
      <c r="D385" s="584" t="s">
        <v>872</v>
      </c>
      <c r="E385" s="584" t="s">
        <v>1549</v>
      </c>
      <c r="F385" s="586" t="s">
        <v>100</v>
      </c>
    </row>
    <row r="386" spans="1:6" ht="15">
      <c r="A386" s="579" t="s">
        <v>950</v>
      </c>
      <c r="B386" s="580" t="s">
        <v>951</v>
      </c>
      <c r="C386" s="581">
        <v>0</v>
      </c>
      <c r="D386" s="580" t="s">
        <v>872</v>
      </c>
      <c r="E386" s="580" t="s">
        <v>1549</v>
      </c>
      <c r="F386" s="582" t="s">
        <v>100</v>
      </c>
    </row>
    <row r="387" spans="1:6" ht="15">
      <c r="A387" s="583" t="s">
        <v>952</v>
      </c>
      <c r="B387" s="584" t="s">
        <v>953</v>
      </c>
      <c r="C387" s="585">
        <v>18500</v>
      </c>
      <c r="D387" s="584" t="s">
        <v>872</v>
      </c>
      <c r="E387" s="584" t="s">
        <v>1550</v>
      </c>
      <c r="F387" s="586" t="s">
        <v>954</v>
      </c>
    </row>
    <row r="388" spans="1:6" ht="15">
      <c r="A388" s="579" t="s">
        <v>955</v>
      </c>
      <c r="B388" s="580" t="s">
        <v>956</v>
      </c>
      <c r="C388" s="581">
        <v>0</v>
      </c>
      <c r="D388" s="580" t="s">
        <v>872</v>
      </c>
      <c r="E388" s="580" t="s">
        <v>1548</v>
      </c>
      <c r="F388" s="582" t="s">
        <v>100</v>
      </c>
    </row>
    <row r="389" spans="1:6" ht="15">
      <c r="A389" s="583" t="s">
        <v>957</v>
      </c>
      <c r="B389" s="584" t="s">
        <v>958</v>
      </c>
      <c r="C389" s="585">
        <v>8797.1</v>
      </c>
      <c r="D389" s="584" t="s">
        <v>872</v>
      </c>
      <c r="E389" s="584" t="s">
        <v>1549</v>
      </c>
      <c r="F389" s="586" t="s">
        <v>100</v>
      </c>
    </row>
    <row r="390" spans="1:6" ht="15">
      <c r="A390" s="579" t="s">
        <v>959</v>
      </c>
      <c r="B390" s="580" t="s">
        <v>960</v>
      </c>
      <c r="C390" s="581">
        <v>317236.21000000002</v>
      </c>
      <c r="D390" s="580" t="s">
        <v>872</v>
      </c>
      <c r="E390" s="580" t="s">
        <v>1549</v>
      </c>
      <c r="F390" s="582" t="s">
        <v>100</v>
      </c>
    </row>
    <row r="391" spans="1:6" ht="15">
      <c r="A391" s="583" t="s">
        <v>961</v>
      </c>
      <c r="B391" s="584" t="s">
        <v>962</v>
      </c>
      <c r="C391" s="585">
        <v>66308.08</v>
      </c>
      <c r="D391" s="584" t="s">
        <v>872</v>
      </c>
      <c r="E391" s="584" t="s">
        <v>1549</v>
      </c>
      <c r="F391" s="586" t="s">
        <v>100</v>
      </c>
    </row>
    <row r="392" spans="1:6" ht="15">
      <c r="A392" s="579" t="s">
        <v>963</v>
      </c>
      <c r="B392" s="580" t="s">
        <v>964</v>
      </c>
      <c r="C392" s="581">
        <v>0</v>
      </c>
      <c r="D392" s="580" t="s">
        <v>872</v>
      </c>
      <c r="E392" s="580" t="s">
        <v>1549</v>
      </c>
      <c r="F392" s="582" t="s">
        <v>100</v>
      </c>
    </row>
    <row r="393" spans="1:6" ht="15">
      <c r="A393" s="583" t="s">
        <v>965</v>
      </c>
      <c r="B393" s="584" t="s">
        <v>966</v>
      </c>
      <c r="C393" s="585">
        <v>392341.39</v>
      </c>
      <c r="D393" s="584" t="s">
        <v>872</v>
      </c>
      <c r="E393" s="584" t="s">
        <v>1550</v>
      </c>
      <c r="F393" s="586" t="s">
        <v>967</v>
      </c>
    </row>
    <row r="394" spans="1:6" ht="15">
      <c r="A394" s="579" t="s">
        <v>968</v>
      </c>
      <c r="B394" s="580" t="s">
        <v>938</v>
      </c>
      <c r="C394" s="581">
        <v>2092538.67</v>
      </c>
      <c r="D394" s="580" t="s">
        <v>872</v>
      </c>
      <c r="E394" s="580" t="s">
        <v>1550</v>
      </c>
      <c r="F394" s="582" t="s">
        <v>969</v>
      </c>
    </row>
    <row r="395" spans="1:6" ht="15">
      <c r="A395" s="583" t="s">
        <v>970</v>
      </c>
      <c r="B395" s="584" t="s">
        <v>971</v>
      </c>
      <c r="C395" s="585">
        <v>0</v>
      </c>
      <c r="D395" s="584" t="s">
        <v>872</v>
      </c>
      <c r="E395" s="584" t="s">
        <v>1548</v>
      </c>
      <c r="F395" s="586" t="s">
        <v>100</v>
      </c>
    </row>
    <row r="396" spans="1:6" ht="15">
      <c r="A396" s="579" t="s">
        <v>972</v>
      </c>
      <c r="B396" s="580" t="s">
        <v>973</v>
      </c>
      <c r="C396" s="581">
        <v>-45558.879999999997</v>
      </c>
      <c r="D396" s="580" t="s">
        <v>872</v>
      </c>
      <c r="E396" s="580" t="s">
        <v>1549</v>
      </c>
      <c r="F396" s="582" t="s">
        <v>100</v>
      </c>
    </row>
    <row r="397" spans="1:6" ht="15">
      <c r="A397" s="583" t="s">
        <v>974</v>
      </c>
      <c r="B397" s="584" t="s">
        <v>975</v>
      </c>
      <c r="C397" s="585">
        <v>0</v>
      </c>
      <c r="D397" s="584" t="s">
        <v>872</v>
      </c>
      <c r="E397" s="584" t="s">
        <v>1549</v>
      </c>
      <c r="F397" s="586" t="s">
        <v>100</v>
      </c>
    </row>
    <row r="398" spans="1:6" ht="15">
      <c r="A398" s="579" t="s">
        <v>976</v>
      </c>
      <c r="B398" s="580" t="s">
        <v>977</v>
      </c>
      <c r="C398" s="581">
        <v>12690.8</v>
      </c>
      <c r="D398" s="580" t="s">
        <v>872</v>
      </c>
      <c r="E398" s="580" t="s">
        <v>1549</v>
      </c>
      <c r="F398" s="582" t="s">
        <v>100</v>
      </c>
    </row>
    <row r="399" spans="1:6" ht="15">
      <c r="A399" s="583" t="s">
        <v>980</v>
      </c>
      <c r="B399" s="584" t="s">
        <v>981</v>
      </c>
      <c r="C399" s="585">
        <v>-36681.94</v>
      </c>
      <c r="D399" s="584" t="s">
        <v>872</v>
      </c>
      <c r="E399" s="584" t="s">
        <v>1549</v>
      </c>
      <c r="F399" s="586" t="s">
        <v>100</v>
      </c>
    </row>
    <row r="400" spans="1:6" ht="15">
      <c r="A400" s="579" t="s">
        <v>982</v>
      </c>
      <c r="B400" s="580" t="s">
        <v>983</v>
      </c>
      <c r="C400" s="581">
        <v>0</v>
      </c>
      <c r="D400" s="580" t="s">
        <v>872</v>
      </c>
      <c r="E400" s="580" t="s">
        <v>1549</v>
      </c>
      <c r="F400" s="582" t="s">
        <v>100</v>
      </c>
    </row>
    <row r="401" spans="1:6" ht="15">
      <c r="A401" s="583" t="s">
        <v>984</v>
      </c>
      <c r="B401" s="584" t="s">
        <v>985</v>
      </c>
      <c r="C401" s="585">
        <v>0</v>
      </c>
      <c r="D401" s="584" t="s">
        <v>872</v>
      </c>
      <c r="E401" s="584" t="s">
        <v>1549</v>
      </c>
      <c r="F401" s="586" t="s">
        <v>100</v>
      </c>
    </row>
    <row r="402" spans="1:6" ht="15">
      <c r="A402" s="579" t="s">
        <v>986</v>
      </c>
      <c r="B402" s="580" t="s">
        <v>987</v>
      </c>
      <c r="C402" s="581">
        <v>3721.5</v>
      </c>
      <c r="D402" s="580" t="s">
        <v>872</v>
      </c>
      <c r="E402" s="580" t="s">
        <v>1549</v>
      </c>
      <c r="F402" s="582" t="s">
        <v>100</v>
      </c>
    </row>
    <row r="403" spans="1:6" ht="15">
      <c r="A403" s="583" t="s">
        <v>988</v>
      </c>
      <c r="B403" s="584" t="s">
        <v>989</v>
      </c>
      <c r="C403" s="585">
        <v>2117.8000000000002</v>
      </c>
      <c r="D403" s="584" t="s">
        <v>872</v>
      </c>
      <c r="E403" s="584" t="s">
        <v>1549</v>
      </c>
      <c r="F403" s="586" t="s">
        <v>100</v>
      </c>
    </row>
    <row r="404" spans="1:6" ht="15">
      <c r="A404" s="579" t="s">
        <v>990</v>
      </c>
      <c r="B404" s="580" t="s">
        <v>991</v>
      </c>
      <c r="C404" s="581">
        <v>6952.6</v>
      </c>
      <c r="D404" s="580" t="s">
        <v>872</v>
      </c>
      <c r="E404" s="580" t="s">
        <v>1549</v>
      </c>
      <c r="F404" s="582" t="s">
        <v>100</v>
      </c>
    </row>
    <row r="405" spans="1:6" ht="15">
      <c r="A405" s="583" t="s">
        <v>992</v>
      </c>
      <c r="B405" s="584" t="s">
        <v>993</v>
      </c>
      <c r="C405" s="585">
        <v>0</v>
      </c>
      <c r="D405" s="584" t="s">
        <v>872</v>
      </c>
      <c r="E405" s="584" t="s">
        <v>1549</v>
      </c>
      <c r="F405" s="586" t="s">
        <v>100</v>
      </c>
    </row>
    <row r="406" spans="1:6" ht="15">
      <c r="A406" s="579" t="s">
        <v>994</v>
      </c>
      <c r="B406" s="580" t="s">
        <v>1610</v>
      </c>
      <c r="C406" s="581">
        <v>0</v>
      </c>
      <c r="D406" s="580" t="s">
        <v>872</v>
      </c>
      <c r="E406" s="580" t="s">
        <v>1549</v>
      </c>
      <c r="F406" s="582" t="s">
        <v>100</v>
      </c>
    </row>
    <row r="407" spans="1:6" ht="15">
      <c r="A407" s="583" t="s">
        <v>996</v>
      </c>
      <c r="B407" s="584" t="s">
        <v>997</v>
      </c>
      <c r="C407" s="585">
        <v>1000</v>
      </c>
      <c r="D407" s="584" t="s">
        <v>872</v>
      </c>
      <c r="E407" s="584" t="s">
        <v>1549</v>
      </c>
      <c r="F407" s="586" t="s">
        <v>100</v>
      </c>
    </row>
    <row r="408" spans="1:6" ht="15">
      <c r="A408" s="579" t="s">
        <v>998</v>
      </c>
      <c r="B408" s="580" t="s">
        <v>999</v>
      </c>
      <c r="C408" s="581">
        <v>1000</v>
      </c>
      <c r="D408" s="580" t="s">
        <v>872</v>
      </c>
      <c r="E408" s="580" t="s">
        <v>1549</v>
      </c>
      <c r="F408" s="582" t="s">
        <v>100</v>
      </c>
    </row>
    <row r="409" spans="1:6" ht="15">
      <c r="A409" s="583" t="s">
        <v>1000</v>
      </c>
      <c r="B409" s="584" t="s">
        <v>1611</v>
      </c>
      <c r="C409" s="585">
        <v>217824.95</v>
      </c>
      <c r="D409" s="584" t="s">
        <v>872</v>
      </c>
      <c r="E409" s="584" t="s">
        <v>1549</v>
      </c>
      <c r="F409" s="586" t="s">
        <v>100</v>
      </c>
    </row>
    <row r="410" spans="1:6" ht="15">
      <c r="A410" s="579" t="s">
        <v>1612</v>
      </c>
      <c r="B410" s="580" t="s">
        <v>1613</v>
      </c>
      <c r="C410" s="581">
        <v>451827.94</v>
      </c>
      <c r="D410" s="580" t="s">
        <v>872</v>
      </c>
      <c r="E410" s="580" t="s">
        <v>1549</v>
      </c>
      <c r="F410" s="582" t="s">
        <v>100</v>
      </c>
    </row>
    <row r="411" spans="1:6" ht="15">
      <c r="A411" s="583" t="s">
        <v>1002</v>
      </c>
      <c r="B411" s="584" t="s">
        <v>1003</v>
      </c>
      <c r="C411" s="585">
        <v>614894.77</v>
      </c>
      <c r="D411" s="584" t="s">
        <v>872</v>
      </c>
      <c r="E411" s="584" t="s">
        <v>1550</v>
      </c>
      <c r="F411" s="586" t="s">
        <v>1004</v>
      </c>
    </row>
    <row r="412" spans="1:6" ht="15">
      <c r="A412" s="579" t="s">
        <v>1005</v>
      </c>
      <c r="B412" s="580" t="s">
        <v>1006</v>
      </c>
      <c r="C412" s="581">
        <v>67589784.859999999</v>
      </c>
      <c r="D412" s="580" t="s">
        <v>872</v>
      </c>
      <c r="E412" s="580" t="s">
        <v>1550</v>
      </c>
      <c r="F412" s="582" t="s">
        <v>1007</v>
      </c>
    </row>
    <row r="413" spans="1:6" ht="15">
      <c r="A413" s="583" t="s">
        <v>1008</v>
      </c>
      <c r="B413" s="584" t="s">
        <v>1009</v>
      </c>
      <c r="C413" s="585">
        <v>0</v>
      </c>
      <c r="D413" s="584" t="s">
        <v>872</v>
      </c>
      <c r="E413" s="584" t="s">
        <v>1548</v>
      </c>
      <c r="F413" s="586" t="s">
        <v>100</v>
      </c>
    </row>
    <row r="414" spans="1:6" ht="15">
      <c r="A414" s="579" t="s">
        <v>1010</v>
      </c>
      <c r="B414" s="580" t="s">
        <v>1011</v>
      </c>
      <c r="C414" s="581">
        <v>0</v>
      </c>
      <c r="D414" s="580" t="s">
        <v>872</v>
      </c>
      <c r="E414" s="580" t="s">
        <v>1548</v>
      </c>
      <c r="F414" s="582" t="s">
        <v>100</v>
      </c>
    </row>
    <row r="415" spans="1:6" ht="15">
      <c r="A415" s="583" t="s">
        <v>1012</v>
      </c>
      <c r="B415" s="584" t="s">
        <v>1013</v>
      </c>
      <c r="C415" s="585">
        <v>0</v>
      </c>
      <c r="D415" s="584" t="s">
        <v>872</v>
      </c>
      <c r="E415" s="584" t="s">
        <v>1548</v>
      </c>
      <c r="F415" s="586" t="s">
        <v>100</v>
      </c>
    </row>
    <row r="416" spans="1:6" ht="15">
      <c r="A416" s="579" t="s">
        <v>1014</v>
      </c>
      <c r="B416" s="580" t="s">
        <v>1015</v>
      </c>
      <c r="C416" s="581">
        <v>-23383683.399999999</v>
      </c>
      <c r="D416" s="580" t="s">
        <v>872</v>
      </c>
      <c r="E416" s="580" t="s">
        <v>1549</v>
      </c>
      <c r="F416" s="582" t="s">
        <v>100</v>
      </c>
    </row>
    <row r="417" spans="1:6" ht="15">
      <c r="A417" s="583" t="s">
        <v>1016</v>
      </c>
      <c r="B417" s="584" t="s">
        <v>106</v>
      </c>
      <c r="C417" s="585">
        <v>701906.29</v>
      </c>
      <c r="D417" s="584" t="s">
        <v>872</v>
      </c>
      <c r="E417" s="584" t="s">
        <v>1584</v>
      </c>
      <c r="F417" s="586" t="s">
        <v>869</v>
      </c>
    </row>
    <row r="418" spans="1:6" ht="15">
      <c r="A418" s="579" t="s">
        <v>1017</v>
      </c>
      <c r="B418" s="580" t="s">
        <v>1018</v>
      </c>
      <c r="C418" s="581">
        <v>-3131550</v>
      </c>
      <c r="D418" s="580" t="s">
        <v>872</v>
      </c>
      <c r="E418" s="580" t="s">
        <v>1549</v>
      </c>
      <c r="F418" s="582" t="s">
        <v>100</v>
      </c>
    </row>
    <row r="419" spans="1:6" ht="15">
      <c r="A419" s="583" t="s">
        <v>1019</v>
      </c>
      <c r="B419" s="584" t="s">
        <v>1020</v>
      </c>
      <c r="C419" s="585">
        <v>1139720.28</v>
      </c>
      <c r="D419" s="584" t="s">
        <v>872</v>
      </c>
      <c r="E419" s="584" t="s">
        <v>1549</v>
      </c>
      <c r="F419" s="586" t="s">
        <v>100</v>
      </c>
    </row>
    <row r="420" spans="1:6" ht="15">
      <c r="A420" s="579" t="s">
        <v>1021</v>
      </c>
      <c r="B420" s="580" t="s">
        <v>1022</v>
      </c>
      <c r="C420" s="581">
        <v>-20325146.149999999</v>
      </c>
      <c r="D420" s="580" t="s">
        <v>872</v>
      </c>
      <c r="E420" s="580" t="s">
        <v>1549</v>
      </c>
      <c r="F420" s="582" t="s">
        <v>100</v>
      </c>
    </row>
    <row r="421" spans="1:6" ht="15">
      <c r="A421" s="583" t="s">
        <v>1023</v>
      </c>
      <c r="B421" s="584" t="s">
        <v>1024</v>
      </c>
      <c r="C421" s="585">
        <v>0</v>
      </c>
      <c r="D421" s="584" t="s">
        <v>872</v>
      </c>
      <c r="E421" s="584" t="s">
        <v>1549</v>
      </c>
      <c r="F421" s="586" t="s">
        <v>100</v>
      </c>
    </row>
    <row r="422" spans="1:6" ht="15">
      <c r="A422" s="579" t="s">
        <v>1025</v>
      </c>
      <c r="B422" s="580" t="s">
        <v>1026</v>
      </c>
      <c r="C422" s="581">
        <v>-45700659.270000003</v>
      </c>
      <c r="D422" s="580" t="s">
        <v>872</v>
      </c>
      <c r="E422" s="580" t="s">
        <v>1550</v>
      </c>
      <c r="F422" s="582" t="s">
        <v>1027</v>
      </c>
    </row>
    <row r="423" spans="1:6" ht="15">
      <c r="A423" s="583" t="s">
        <v>1028</v>
      </c>
      <c r="B423" s="584" t="s">
        <v>1029</v>
      </c>
      <c r="C423" s="585">
        <v>0</v>
      </c>
      <c r="D423" s="584" t="s">
        <v>872</v>
      </c>
      <c r="E423" s="584" t="s">
        <v>1548</v>
      </c>
      <c r="F423" s="586" t="s">
        <v>100</v>
      </c>
    </row>
    <row r="424" spans="1:6" ht="15">
      <c r="A424" s="579" t="s">
        <v>1030</v>
      </c>
      <c r="B424" s="580" t="s">
        <v>1031</v>
      </c>
      <c r="C424" s="581">
        <v>-14363009.75</v>
      </c>
      <c r="D424" s="580" t="s">
        <v>872</v>
      </c>
      <c r="E424" s="580" t="s">
        <v>1549</v>
      </c>
      <c r="F424" s="582" t="s">
        <v>100</v>
      </c>
    </row>
    <row r="425" spans="1:6" ht="15">
      <c r="A425" s="583" t="s">
        <v>1032</v>
      </c>
      <c r="B425" s="584" t="s">
        <v>1033</v>
      </c>
      <c r="C425" s="585">
        <v>-43560</v>
      </c>
      <c r="D425" s="584" t="s">
        <v>872</v>
      </c>
      <c r="E425" s="584" t="s">
        <v>1549</v>
      </c>
      <c r="F425" s="586" t="s">
        <v>100</v>
      </c>
    </row>
    <row r="426" spans="1:6" ht="15">
      <c r="A426" s="579" t="s">
        <v>1034</v>
      </c>
      <c r="B426" s="580" t="s">
        <v>1035</v>
      </c>
      <c r="C426" s="581">
        <v>426510</v>
      </c>
      <c r="D426" s="580" t="s">
        <v>872</v>
      </c>
      <c r="E426" s="580" t="s">
        <v>1549</v>
      </c>
      <c r="F426" s="582" t="s">
        <v>100</v>
      </c>
    </row>
    <row r="427" spans="1:6" ht="15">
      <c r="A427" s="583" t="s">
        <v>1036</v>
      </c>
      <c r="B427" s="584" t="s">
        <v>1037</v>
      </c>
      <c r="C427" s="585">
        <v>6746279</v>
      </c>
      <c r="D427" s="584" t="s">
        <v>872</v>
      </c>
      <c r="E427" s="584" t="s">
        <v>1549</v>
      </c>
      <c r="F427" s="586" t="s">
        <v>100</v>
      </c>
    </row>
    <row r="428" spans="1:6" ht="15">
      <c r="A428" s="579" t="s">
        <v>1038</v>
      </c>
      <c r="B428" s="580" t="s">
        <v>440</v>
      </c>
      <c r="C428" s="581">
        <v>0</v>
      </c>
      <c r="D428" s="580" t="s">
        <v>872</v>
      </c>
      <c r="E428" s="580" t="s">
        <v>1549</v>
      </c>
      <c r="F428" s="582" t="s">
        <v>100</v>
      </c>
    </row>
    <row r="429" spans="1:6" ht="15">
      <c r="A429" s="583" t="s">
        <v>1614</v>
      </c>
      <c r="B429" s="584" t="s">
        <v>1615</v>
      </c>
      <c r="C429" s="585">
        <v>95463.679999999993</v>
      </c>
      <c r="D429" s="584" t="s">
        <v>872</v>
      </c>
      <c r="E429" s="584" t="s">
        <v>1549</v>
      </c>
      <c r="F429" s="586" t="s">
        <v>100</v>
      </c>
    </row>
    <row r="430" spans="1:6" ht="15">
      <c r="A430" s="579" t="s">
        <v>1039</v>
      </c>
      <c r="B430" s="580" t="s">
        <v>1040</v>
      </c>
      <c r="C430" s="581">
        <v>-7138317.0700000003</v>
      </c>
      <c r="D430" s="580" t="s">
        <v>872</v>
      </c>
      <c r="E430" s="580" t="s">
        <v>1550</v>
      </c>
      <c r="F430" s="582" t="s">
        <v>1041</v>
      </c>
    </row>
    <row r="431" spans="1:6" ht="15">
      <c r="A431" s="583" t="s">
        <v>1042</v>
      </c>
      <c r="B431" s="584" t="s">
        <v>1043</v>
      </c>
      <c r="C431" s="585">
        <v>0</v>
      </c>
      <c r="D431" s="584" t="s">
        <v>872</v>
      </c>
      <c r="E431" s="584" t="s">
        <v>1548</v>
      </c>
      <c r="F431" s="586" t="s">
        <v>100</v>
      </c>
    </row>
    <row r="432" spans="1:6" ht="15">
      <c r="A432" s="579" t="s">
        <v>1044</v>
      </c>
      <c r="B432" s="580" t="s">
        <v>1045</v>
      </c>
      <c r="C432" s="581">
        <v>0</v>
      </c>
      <c r="D432" s="580" t="s">
        <v>872</v>
      </c>
      <c r="E432" s="580" t="s">
        <v>1549</v>
      </c>
      <c r="F432" s="582" t="s">
        <v>100</v>
      </c>
    </row>
    <row r="433" spans="1:6" ht="15">
      <c r="A433" s="583" t="s">
        <v>1046</v>
      </c>
      <c r="B433" s="584" t="s">
        <v>1047</v>
      </c>
      <c r="C433" s="585">
        <v>0</v>
      </c>
      <c r="D433" s="584" t="s">
        <v>872</v>
      </c>
      <c r="E433" s="584" t="s">
        <v>1549</v>
      </c>
      <c r="F433" s="586" t="s">
        <v>100</v>
      </c>
    </row>
    <row r="434" spans="1:6" ht="15">
      <c r="A434" s="579" t="s">
        <v>1048</v>
      </c>
      <c r="B434" s="580" t="s">
        <v>1049</v>
      </c>
      <c r="C434" s="581">
        <v>0</v>
      </c>
      <c r="D434" s="580" t="s">
        <v>872</v>
      </c>
      <c r="E434" s="580" t="s">
        <v>1549</v>
      </c>
      <c r="F434" s="582" t="s">
        <v>100</v>
      </c>
    </row>
    <row r="435" spans="1:6" ht="15">
      <c r="A435" s="583" t="s">
        <v>1050</v>
      </c>
      <c r="B435" s="584" t="s">
        <v>1616</v>
      </c>
      <c r="C435" s="585">
        <v>0</v>
      </c>
      <c r="D435" s="584" t="s">
        <v>872</v>
      </c>
      <c r="E435" s="584" t="s">
        <v>1549</v>
      </c>
      <c r="F435" s="586" t="s">
        <v>100</v>
      </c>
    </row>
    <row r="436" spans="1:6" ht="15">
      <c r="A436" s="579" t="s">
        <v>1052</v>
      </c>
      <c r="B436" s="580" t="s">
        <v>1617</v>
      </c>
      <c r="C436" s="581">
        <v>-3000</v>
      </c>
      <c r="D436" s="580" t="s">
        <v>872</v>
      </c>
      <c r="E436" s="580" t="s">
        <v>1549</v>
      </c>
      <c r="F436" s="582" t="s">
        <v>100</v>
      </c>
    </row>
    <row r="437" spans="1:6" ht="15">
      <c r="A437" s="583" t="s">
        <v>1054</v>
      </c>
      <c r="B437" s="584" t="s">
        <v>103</v>
      </c>
      <c r="C437" s="585">
        <v>-5021022.04</v>
      </c>
      <c r="D437" s="584" t="s">
        <v>872</v>
      </c>
      <c r="E437" s="584" t="s">
        <v>1549</v>
      </c>
      <c r="F437" s="586" t="s">
        <v>100</v>
      </c>
    </row>
    <row r="438" spans="1:6" ht="15">
      <c r="A438" s="579" t="s">
        <v>1056</v>
      </c>
      <c r="B438" s="580" t="s">
        <v>1057</v>
      </c>
      <c r="C438" s="581">
        <v>0</v>
      </c>
      <c r="D438" s="580" t="s">
        <v>872</v>
      </c>
      <c r="E438" s="580" t="s">
        <v>1548</v>
      </c>
      <c r="F438" s="582" t="s">
        <v>100</v>
      </c>
    </row>
    <row r="439" spans="1:6" ht="15">
      <c r="A439" s="583" t="s">
        <v>1058</v>
      </c>
      <c r="B439" s="584" t="s">
        <v>1031</v>
      </c>
      <c r="C439" s="585">
        <v>-542200.19999999995</v>
      </c>
      <c r="D439" s="584" t="s">
        <v>872</v>
      </c>
      <c r="E439" s="584" t="s">
        <v>1549</v>
      </c>
      <c r="F439" s="586" t="s">
        <v>100</v>
      </c>
    </row>
    <row r="440" spans="1:6" ht="15">
      <c r="A440" s="579" t="s">
        <v>1059</v>
      </c>
      <c r="B440" s="580" t="s">
        <v>1060</v>
      </c>
      <c r="C440" s="581">
        <v>0</v>
      </c>
      <c r="D440" s="580" t="s">
        <v>872</v>
      </c>
      <c r="E440" s="580" t="s">
        <v>1549</v>
      </c>
      <c r="F440" s="582" t="s">
        <v>100</v>
      </c>
    </row>
    <row r="441" spans="1:6" ht="15">
      <c r="A441" s="583" t="s">
        <v>1061</v>
      </c>
      <c r="B441" s="584" t="s">
        <v>1062</v>
      </c>
      <c r="C441" s="585">
        <v>11703.72</v>
      </c>
      <c r="D441" s="584" t="s">
        <v>872</v>
      </c>
      <c r="E441" s="584" t="s">
        <v>1549</v>
      </c>
      <c r="F441" s="586" t="s">
        <v>100</v>
      </c>
    </row>
    <row r="442" spans="1:6" ht="15">
      <c r="A442" s="579" t="s">
        <v>1063</v>
      </c>
      <c r="B442" s="580" t="s">
        <v>1064</v>
      </c>
      <c r="C442" s="581">
        <v>-530496.48</v>
      </c>
      <c r="D442" s="580" t="s">
        <v>872</v>
      </c>
      <c r="E442" s="580" t="s">
        <v>1550</v>
      </c>
      <c r="F442" s="582" t="s">
        <v>1065</v>
      </c>
    </row>
    <row r="443" spans="1:6" ht="15">
      <c r="A443" s="583" t="s">
        <v>1066</v>
      </c>
      <c r="B443" s="584" t="s">
        <v>1067</v>
      </c>
      <c r="C443" s="585">
        <v>-5554518.5199999996</v>
      </c>
      <c r="D443" s="584" t="s">
        <v>872</v>
      </c>
      <c r="E443" s="584" t="s">
        <v>1550</v>
      </c>
      <c r="F443" s="586" t="s">
        <v>1068</v>
      </c>
    </row>
    <row r="444" spans="1:6" ht="15">
      <c r="A444" s="579" t="s">
        <v>1069</v>
      </c>
      <c r="B444" s="580" t="s">
        <v>1070</v>
      </c>
      <c r="C444" s="581">
        <v>-58393494.859999999</v>
      </c>
      <c r="D444" s="580" t="s">
        <v>872</v>
      </c>
      <c r="E444" s="580" t="s">
        <v>1550</v>
      </c>
      <c r="F444" s="582" t="s">
        <v>1071</v>
      </c>
    </row>
    <row r="445" spans="1:6" ht="15">
      <c r="A445" s="583" t="s">
        <v>1072</v>
      </c>
      <c r="B445" s="584" t="s">
        <v>1073</v>
      </c>
      <c r="C445" s="585">
        <v>0</v>
      </c>
      <c r="D445" s="584" t="s">
        <v>872</v>
      </c>
      <c r="E445" s="584" t="s">
        <v>1548</v>
      </c>
      <c r="F445" s="586" t="s">
        <v>100</v>
      </c>
    </row>
    <row r="446" spans="1:6" ht="15">
      <c r="A446" s="579" t="s">
        <v>1074</v>
      </c>
      <c r="B446" s="580" t="s">
        <v>1075</v>
      </c>
      <c r="C446" s="581">
        <v>0</v>
      </c>
      <c r="D446" s="580" t="s">
        <v>872</v>
      </c>
      <c r="E446" s="580" t="s">
        <v>1549</v>
      </c>
      <c r="F446" s="582" t="s">
        <v>100</v>
      </c>
    </row>
    <row r="447" spans="1:6" ht="15">
      <c r="A447" s="583" t="s">
        <v>1076</v>
      </c>
      <c r="B447" s="584" t="s">
        <v>1077</v>
      </c>
      <c r="C447" s="585">
        <v>0</v>
      </c>
      <c r="D447" s="584" t="s">
        <v>872</v>
      </c>
      <c r="E447" s="584" t="s">
        <v>1549</v>
      </c>
      <c r="F447" s="586" t="s">
        <v>100</v>
      </c>
    </row>
    <row r="448" spans="1:6" ht="15">
      <c r="A448" s="579" t="s">
        <v>1078</v>
      </c>
      <c r="B448" s="580" t="s">
        <v>1079</v>
      </c>
      <c r="C448" s="581">
        <v>-6614956.7300000004</v>
      </c>
      <c r="D448" s="580" t="s">
        <v>872</v>
      </c>
      <c r="E448" s="580" t="s">
        <v>1549</v>
      </c>
      <c r="F448" s="582" t="s">
        <v>100</v>
      </c>
    </row>
    <row r="449" spans="1:6" ht="15">
      <c r="A449" s="583" t="s">
        <v>1080</v>
      </c>
      <c r="B449" s="584" t="s">
        <v>1081</v>
      </c>
      <c r="C449" s="585">
        <v>-6614956.7300000004</v>
      </c>
      <c r="D449" s="584" t="s">
        <v>872</v>
      </c>
      <c r="E449" s="584" t="s">
        <v>1550</v>
      </c>
      <c r="F449" s="586" t="s">
        <v>1082</v>
      </c>
    </row>
    <row r="450" spans="1:6" ht="15">
      <c r="A450" s="579" t="s">
        <v>1083</v>
      </c>
      <c r="B450" s="580" t="s">
        <v>1084</v>
      </c>
      <c r="C450" s="581">
        <v>0</v>
      </c>
      <c r="D450" s="580" t="s">
        <v>872</v>
      </c>
      <c r="E450" s="580" t="s">
        <v>1548</v>
      </c>
      <c r="F450" s="582" t="s">
        <v>100</v>
      </c>
    </row>
    <row r="451" spans="1:6" ht="15">
      <c r="A451" s="583" t="s">
        <v>1085</v>
      </c>
      <c r="B451" s="584" t="s">
        <v>1086</v>
      </c>
      <c r="C451" s="585">
        <v>0</v>
      </c>
      <c r="D451" s="584" t="s">
        <v>872</v>
      </c>
      <c r="E451" s="584" t="s">
        <v>1548</v>
      </c>
      <c r="F451" s="586" t="s">
        <v>100</v>
      </c>
    </row>
    <row r="452" spans="1:6" ht="15">
      <c r="A452" s="579" t="s">
        <v>1087</v>
      </c>
      <c r="B452" s="580" t="s">
        <v>1088</v>
      </c>
      <c r="C452" s="581">
        <v>-585441.96</v>
      </c>
      <c r="D452" s="580" t="s">
        <v>872</v>
      </c>
      <c r="E452" s="580" t="s">
        <v>1549</v>
      </c>
      <c r="F452" s="582" t="s">
        <v>100</v>
      </c>
    </row>
    <row r="453" spans="1:6" ht="15">
      <c r="A453" s="583" t="s">
        <v>1089</v>
      </c>
      <c r="B453" s="584" t="s">
        <v>1090</v>
      </c>
      <c r="C453" s="585">
        <v>-585441.96</v>
      </c>
      <c r="D453" s="584" t="s">
        <v>872</v>
      </c>
      <c r="E453" s="584" t="s">
        <v>1550</v>
      </c>
      <c r="F453" s="586" t="s">
        <v>1091</v>
      </c>
    </row>
    <row r="454" spans="1:6" ht="15">
      <c r="A454" s="579" t="s">
        <v>1092</v>
      </c>
      <c r="B454" s="580" t="s">
        <v>1093</v>
      </c>
      <c r="C454" s="581">
        <v>0</v>
      </c>
      <c r="D454" s="580" t="s">
        <v>872</v>
      </c>
      <c r="E454" s="580" t="s">
        <v>1548</v>
      </c>
      <c r="F454" s="582" t="s">
        <v>100</v>
      </c>
    </row>
    <row r="455" spans="1:6" ht="15">
      <c r="A455" s="583" t="s">
        <v>1094</v>
      </c>
      <c r="B455" s="584" t="s">
        <v>1095</v>
      </c>
      <c r="C455" s="585">
        <v>0</v>
      </c>
      <c r="D455" s="584" t="s">
        <v>872</v>
      </c>
      <c r="E455" s="584" t="s">
        <v>1548</v>
      </c>
      <c r="F455" s="586" t="s">
        <v>100</v>
      </c>
    </row>
    <row r="456" spans="1:6" ht="15">
      <c r="A456" s="579" t="s">
        <v>1096</v>
      </c>
      <c r="B456" s="580" t="s">
        <v>1097</v>
      </c>
      <c r="C456" s="581">
        <v>0</v>
      </c>
      <c r="D456" s="580" t="s">
        <v>872</v>
      </c>
      <c r="E456" s="580" t="s">
        <v>1549</v>
      </c>
      <c r="F456" s="582" t="s">
        <v>100</v>
      </c>
    </row>
    <row r="457" spans="1:6" ht="15">
      <c r="A457" s="583" t="s">
        <v>1098</v>
      </c>
      <c r="B457" s="584" t="s">
        <v>1099</v>
      </c>
      <c r="C457" s="585">
        <v>0</v>
      </c>
      <c r="D457" s="584" t="s">
        <v>872</v>
      </c>
      <c r="E457" s="584" t="s">
        <v>1549</v>
      </c>
      <c r="F457" s="586" t="s">
        <v>100</v>
      </c>
    </row>
    <row r="458" spans="1:6" ht="15">
      <c r="A458" s="579" t="s">
        <v>1100</v>
      </c>
      <c r="B458" s="580" t="s">
        <v>1101</v>
      </c>
      <c r="C458" s="581">
        <v>0</v>
      </c>
      <c r="D458" s="580" t="s">
        <v>872</v>
      </c>
      <c r="E458" s="580" t="s">
        <v>1550</v>
      </c>
      <c r="F458" s="582" t="s">
        <v>1102</v>
      </c>
    </row>
    <row r="459" spans="1:6" ht="15">
      <c r="A459" s="583" t="s">
        <v>1103</v>
      </c>
      <c r="B459" s="584" t="s">
        <v>1104</v>
      </c>
      <c r="C459" s="585">
        <v>0</v>
      </c>
      <c r="D459" s="584" t="s">
        <v>872</v>
      </c>
      <c r="E459" s="584" t="s">
        <v>1548</v>
      </c>
      <c r="F459" s="586" t="s">
        <v>100</v>
      </c>
    </row>
    <row r="460" spans="1:6" ht="15">
      <c r="A460" s="579" t="s">
        <v>1105</v>
      </c>
      <c r="B460" s="580" t="s">
        <v>155</v>
      </c>
      <c r="C460" s="581">
        <v>0</v>
      </c>
      <c r="D460" s="580" t="s">
        <v>872</v>
      </c>
      <c r="E460" s="580" t="s">
        <v>1548</v>
      </c>
      <c r="F460" s="582" t="s">
        <v>100</v>
      </c>
    </row>
    <row r="461" spans="1:6" ht="15">
      <c r="A461" s="583" t="s">
        <v>1106</v>
      </c>
      <c r="B461" s="584" t="s">
        <v>1107</v>
      </c>
      <c r="C461" s="585">
        <v>-291329.74</v>
      </c>
      <c r="D461" s="584" t="s">
        <v>872</v>
      </c>
      <c r="E461" s="584" t="s">
        <v>1549</v>
      </c>
      <c r="F461" s="586" t="s">
        <v>100</v>
      </c>
    </row>
    <row r="462" spans="1:6" ht="15">
      <c r="A462" s="579" t="s">
        <v>1108</v>
      </c>
      <c r="B462" s="580" t="s">
        <v>440</v>
      </c>
      <c r="C462" s="581">
        <v>0</v>
      </c>
      <c r="D462" s="580" t="s">
        <v>872</v>
      </c>
      <c r="E462" s="580" t="s">
        <v>1549</v>
      </c>
      <c r="F462" s="582" t="s">
        <v>100</v>
      </c>
    </row>
    <row r="463" spans="1:6" ht="15">
      <c r="A463" s="583" t="s">
        <v>1109</v>
      </c>
      <c r="B463" s="584" t="s">
        <v>1110</v>
      </c>
      <c r="C463" s="585">
        <v>0</v>
      </c>
      <c r="D463" s="584" t="s">
        <v>872</v>
      </c>
      <c r="E463" s="584" t="s">
        <v>1549</v>
      </c>
      <c r="F463" s="586" t="s">
        <v>100</v>
      </c>
    </row>
    <row r="464" spans="1:6" ht="15">
      <c r="A464" s="579" t="s">
        <v>1111</v>
      </c>
      <c r="B464" s="580" t="s">
        <v>481</v>
      </c>
      <c r="C464" s="581">
        <v>137615</v>
      </c>
      <c r="D464" s="580" t="s">
        <v>872</v>
      </c>
      <c r="E464" s="580" t="s">
        <v>1549</v>
      </c>
      <c r="F464" s="582" t="s">
        <v>100</v>
      </c>
    </row>
    <row r="465" spans="1:6" ht="15">
      <c r="A465" s="583" t="s">
        <v>1112</v>
      </c>
      <c r="B465" s="584" t="s">
        <v>278</v>
      </c>
      <c r="C465" s="585">
        <v>-153714.74</v>
      </c>
      <c r="D465" s="584" t="s">
        <v>872</v>
      </c>
      <c r="E465" s="584" t="s">
        <v>1550</v>
      </c>
      <c r="F465" s="586" t="s">
        <v>1113</v>
      </c>
    </row>
    <row r="466" spans="1:6" ht="15">
      <c r="A466" s="579" t="s">
        <v>1114</v>
      </c>
      <c r="B466" s="580" t="s">
        <v>1115</v>
      </c>
      <c r="C466" s="581">
        <v>0</v>
      </c>
      <c r="D466" s="580" t="s">
        <v>872</v>
      </c>
      <c r="E466" s="580" t="s">
        <v>1548</v>
      </c>
      <c r="F466" s="582" t="s">
        <v>100</v>
      </c>
    </row>
    <row r="467" spans="1:6" ht="15">
      <c r="A467" s="583" t="s">
        <v>1116</v>
      </c>
      <c r="B467" s="584" t="s">
        <v>220</v>
      </c>
      <c r="C467" s="585">
        <v>0</v>
      </c>
      <c r="D467" s="584" t="s">
        <v>872</v>
      </c>
      <c r="E467" s="584" t="s">
        <v>1549</v>
      </c>
      <c r="F467" s="586" t="s">
        <v>100</v>
      </c>
    </row>
    <row r="468" spans="1:6" ht="15">
      <c r="A468" s="579" t="s">
        <v>1117</v>
      </c>
      <c r="B468" s="580" t="s">
        <v>1118</v>
      </c>
      <c r="C468" s="581">
        <v>0</v>
      </c>
      <c r="D468" s="580" t="s">
        <v>872</v>
      </c>
      <c r="E468" s="580" t="s">
        <v>1549</v>
      </c>
      <c r="F468" s="582" t="s">
        <v>100</v>
      </c>
    </row>
    <row r="469" spans="1:6" ht="15">
      <c r="A469" s="583" t="s">
        <v>1119</v>
      </c>
      <c r="B469" s="584" t="s">
        <v>1120</v>
      </c>
      <c r="C469" s="585">
        <v>0</v>
      </c>
      <c r="D469" s="584" t="s">
        <v>872</v>
      </c>
      <c r="E469" s="584" t="s">
        <v>1549</v>
      </c>
      <c r="F469" s="586" t="s">
        <v>100</v>
      </c>
    </row>
    <row r="470" spans="1:6" ht="15">
      <c r="A470" s="579" t="s">
        <v>1121</v>
      </c>
      <c r="B470" s="580" t="s">
        <v>1122</v>
      </c>
      <c r="C470" s="581">
        <v>0</v>
      </c>
      <c r="D470" s="580" t="s">
        <v>872</v>
      </c>
      <c r="E470" s="580" t="s">
        <v>1549</v>
      </c>
      <c r="F470" s="582" t="s">
        <v>100</v>
      </c>
    </row>
    <row r="471" spans="1:6" ht="15">
      <c r="A471" s="583" t="s">
        <v>1123</v>
      </c>
      <c r="B471" s="584" t="s">
        <v>1124</v>
      </c>
      <c r="C471" s="585">
        <v>0</v>
      </c>
      <c r="D471" s="584" t="s">
        <v>872</v>
      </c>
      <c r="E471" s="584" t="s">
        <v>1549</v>
      </c>
      <c r="F471" s="586" t="s">
        <v>100</v>
      </c>
    </row>
    <row r="472" spans="1:6" ht="15">
      <c r="A472" s="579" t="s">
        <v>1125</v>
      </c>
      <c r="B472" s="580" t="s">
        <v>1126</v>
      </c>
      <c r="C472" s="581">
        <v>0</v>
      </c>
      <c r="D472" s="580" t="s">
        <v>872</v>
      </c>
      <c r="E472" s="580" t="s">
        <v>1549</v>
      </c>
      <c r="F472" s="582" t="s">
        <v>100</v>
      </c>
    </row>
    <row r="473" spans="1:6" ht="15">
      <c r="A473" s="583" t="s">
        <v>1127</v>
      </c>
      <c r="B473" s="584" t="s">
        <v>1128</v>
      </c>
      <c r="C473" s="585">
        <v>0</v>
      </c>
      <c r="D473" s="584" t="s">
        <v>872</v>
      </c>
      <c r="E473" s="584" t="s">
        <v>1549</v>
      </c>
      <c r="F473" s="586" t="s">
        <v>100</v>
      </c>
    </row>
    <row r="474" spans="1:6" ht="15">
      <c r="A474" s="579" t="s">
        <v>1129</v>
      </c>
      <c r="B474" s="580" t="s">
        <v>1130</v>
      </c>
      <c r="C474" s="581">
        <v>0</v>
      </c>
      <c r="D474" s="580" t="s">
        <v>872</v>
      </c>
      <c r="E474" s="580" t="s">
        <v>1549</v>
      </c>
      <c r="F474" s="582" t="s">
        <v>100</v>
      </c>
    </row>
    <row r="475" spans="1:6" ht="15">
      <c r="A475" s="583" t="s">
        <v>1131</v>
      </c>
      <c r="B475" s="584" t="s">
        <v>1132</v>
      </c>
      <c r="C475" s="585">
        <v>0</v>
      </c>
      <c r="D475" s="584" t="s">
        <v>872</v>
      </c>
      <c r="E475" s="584" t="s">
        <v>1549</v>
      </c>
      <c r="F475" s="586" t="s">
        <v>100</v>
      </c>
    </row>
    <row r="476" spans="1:6" ht="15">
      <c r="A476" s="579" t="s">
        <v>1133</v>
      </c>
      <c r="B476" s="580" t="s">
        <v>1134</v>
      </c>
      <c r="C476" s="581">
        <v>0</v>
      </c>
      <c r="D476" s="580" t="s">
        <v>872</v>
      </c>
      <c r="E476" s="580" t="s">
        <v>1549</v>
      </c>
      <c r="F476" s="582" t="s">
        <v>100</v>
      </c>
    </row>
    <row r="477" spans="1:6" ht="15">
      <c r="A477" s="583" t="s">
        <v>1135</v>
      </c>
      <c r="B477" s="584" t="s">
        <v>1136</v>
      </c>
      <c r="C477" s="585">
        <v>0</v>
      </c>
      <c r="D477" s="584" t="s">
        <v>872</v>
      </c>
      <c r="E477" s="584" t="s">
        <v>1549</v>
      </c>
      <c r="F477" s="586" t="s">
        <v>100</v>
      </c>
    </row>
    <row r="478" spans="1:6" ht="15">
      <c r="A478" s="579" t="s">
        <v>1137</v>
      </c>
      <c r="B478" s="580" t="s">
        <v>1138</v>
      </c>
      <c r="C478" s="581">
        <v>0</v>
      </c>
      <c r="D478" s="580" t="s">
        <v>872</v>
      </c>
      <c r="E478" s="580" t="s">
        <v>1549</v>
      </c>
      <c r="F478" s="582" t="s">
        <v>100</v>
      </c>
    </row>
    <row r="479" spans="1:6" ht="15">
      <c r="A479" s="583" t="s">
        <v>1139</v>
      </c>
      <c r="B479" s="584" t="s">
        <v>1140</v>
      </c>
      <c r="C479" s="585">
        <v>0</v>
      </c>
      <c r="D479" s="584" t="s">
        <v>872</v>
      </c>
      <c r="E479" s="584" t="s">
        <v>1549</v>
      </c>
      <c r="F479" s="586" t="s">
        <v>100</v>
      </c>
    </row>
    <row r="480" spans="1:6" ht="15">
      <c r="A480" s="579" t="s">
        <v>1141</v>
      </c>
      <c r="B480" s="580" t="s">
        <v>1142</v>
      </c>
      <c r="C480" s="581">
        <v>0</v>
      </c>
      <c r="D480" s="580" t="s">
        <v>872</v>
      </c>
      <c r="E480" s="580" t="s">
        <v>1549</v>
      </c>
      <c r="F480" s="582" t="s">
        <v>100</v>
      </c>
    </row>
    <row r="481" spans="1:6" ht="15">
      <c r="A481" s="583" t="s">
        <v>1143</v>
      </c>
      <c r="B481" s="584" t="s">
        <v>1144</v>
      </c>
      <c r="C481" s="585">
        <v>0</v>
      </c>
      <c r="D481" s="584" t="s">
        <v>872</v>
      </c>
      <c r="E481" s="584" t="s">
        <v>1549</v>
      </c>
      <c r="F481" s="586" t="s">
        <v>100</v>
      </c>
    </row>
    <row r="482" spans="1:6" ht="15">
      <c r="A482" s="579" t="s">
        <v>1145</v>
      </c>
      <c r="B482" s="580" t="s">
        <v>1146</v>
      </c>
      <c r="C482" s="581">
        <v>0</v>
      </c>
      <c r="D482" s="580" t="s">
        <v>872</v>
      </c>
      <c r="E482" s="580" t="s">
        <v>1549</v>
      </c>
      <c r="F482" s="582" t="s">
        <v>100</v>
      </c>
    </row>
    <row r="483" spans="1:6" ht="15">
      <c r="A483" s="583" t="s">
        <v>1147</v>
      </c>
      <c r="B483" s="584" t="s">
        <v>1148</v>
      </c>
      <c r="C483" s="585">
        <v>0</v>
      </c>
      <c r="D483" s="584" t="s">
        <v>872</v>
      </c>
      <c r="E483" s="584" t="s">
        <v>1549</v>
      </c>
      <c r="F483" s="586" t="s">
        <v>100</v>
      </c>
    </row>
    <row r="484" spans="1:6" ht="15">
      <c r="A484" s="579" t="s">
        <v>1149</v>
      </c>
      <c r="B484" s="580" t="s">
        <v>1150</v>
      </c>
      <c r="C484" s="581">
        <v>0</v>
      </c>
      <c r="D484" s="580" t="s">
        <v>872</v>
      </c>
      <c r="E484" s="580" t="s">
        <v>1549</v>
      </c>
      <c r="F484" s="582" t="s">
        <v>100</v>
      </c>
    </row>
    <row r="485" spans="1:6" ht="15">
      <c r="A485" s="583" t="s">
        <v>1151</v>
      </c>
      <c r="B485" s="584" t="s">
        <v>1152</v>
      </c>
      <c r="C485" s="585">
        <v>0</v>
      </c>
      <c r="D485" s="584" t="s">
        <v>872</v>
      </c>
      <c r="E485" s="584" t="s">
        <v>1550</v>
      </c>
      <c r="F485" s="586" t="s">
        <v>1153</v>
      </c>
    </row>
    <row r="486" spans="1:6" ht="15">
      <c r="A486" s="579" t="s">
        <v>1154</v>
      </c>
      <c r="B486" s="580" t="s">
        <v>1155</v>
      </c>
      <c r="C486" s="581">
        <v>-153714.74</v>
      </c>
      <c r="D486" s="580" t="s">
        <v>872</v>
      </c>
      <c r="E486" s="580" t="s">
        <v>1550</v>
      </c>
      <c r="F486" s="582" t="s">
        <v>1156</v>
      </c>
    </row>
    <row r="487" spans="1:6" ht="15">
      <c r="A487" s="583" t="s">
        <v>1157</v>
      </c>
      <c r="B487" s="584" t="s">
        <v>1158</v>
      </c>
      <c r="C487" s="585">
        <v>-153714.74</v>
      </c>
      <c r="D487" s="584" t="s">
        <v>872</v>
      </c>
      <c r="E487" s="584" t="s">
        <v>1550</v>
      </c>
      <c r="F487" s="586" t="s">
        <v>1159</v>
      </c>
    </row>
    <row r="488" spans="1:6" ht="15">
      <c r="A488" s="579" t="s">
        <v>1160</v>
      </c>
      <c r="B488" s="580" t="s">
        <v>1161</v>
      </c>
      <c r="C488" s="581">
        <v>0</v>
      </c>
      <c r="D488" s="580" t="s">
        <v>872</v>
      </c>
      <c r="E488" s="580" t="s">
        <v>1548</v>
      </c>
      <c r="F488" s="582" t="s">
        <v>100</v>
      </c>
    </row>
    <row r="489" spans="1:6" ht="15">
      <c r="A489" s="583" t="s">
        <v>1162</v>
      </c>
      <c r="B489" s="584" t="s">
        <v>1163</v>
      </c>
      <c r="C489" s="585">
        <v>-2680</v>
      </c>
      <c r="D489" s="584" t="s">
        <v>872</v>
      </c>
      <c r="E489" s="584" t="s">
        <v>1549</v>
      </c>
      <c r="F489" s="586" t="s">
        <v>100</v>
      </c>
    </row>
    <row r="490" spans="1:6" ht="15">
      <c r="A490" s="579" t="s">
        <v>1164</v>
      </c>
      <c r="B490" s="580" t="s">
        <v>1165</v>
      </c>
      <c r="C490" s="581">
        <v>-390</v>
      </c>
      <c r="D490" s="580" t="s">
        <v>872</v>
      </c>
      <c r="E490" s="580" t="s">
        <v>1549</v>
      </c>
      <c r="F490" s="582" t="s">
        <v>100</v>
      </c>
    </row>
    <row r="491" spans="1:6" ht="15">
      <c r="A491" s="583" t="s">
        <v>1166</v>
      </c>
      <c r="B491" s="584" t="s">
        <v>1167</v>
      </c>
      <c r="C491" s="585">
        <v>0</v>
      </c>
      <c r="D491" s="584" t="s">
        <v>872</v>
      </c>
      <c r="E491" s="584" t="s">
        <v>1549</v>
      </c>
      <c r="F491" s="586" t="s">
        <v>100</v>
      </c>
    </row>
    <row r="492" spans="1:6" ht="15">
      <c r="A492" s="579" t="s">
        <v>1168</v>
      </c>
      <c r="B492" s="580" t="s">
        <v>1169</v>
      </c>
      <c r="C492" s="581">
        <v>-1965</v>
      </c>
      <c r="D492" s="580" t="s">
        <v>872</v>
      </c>
      <c r="E492" s="580" t="s">
        <v>1549</v>
      </c>
      <c r="F492" s="582" t="s">
        <v>100</v>
      </c>
    </row>
    <row r="493" spans="1:6" ht="15">
      <c r="A493" s="583" t="s">
        <v>1170</v>
      </c>
      <c r="B493" s="584" t="s">
        <v>1171</v>
      </c>
      <c r="C493" s="585">
        <v>0</v>
      </c>
      <c r="D493" s="584" t="s">
        <v>872</v>
      </c>
      <c r="E493" s="584" t="s">
        <v>1549</v>
      </c>
      <c r="F493" s="586" t="s">
        <v>100</v>
      </c>
    </row>
    <row r="494" spans="1:6" ht="15">
      <c r="A494" s="579" t="s">
        <v>1172</v>
      </c>
      <c r="B494" s="580" t="s">
        <v>1173</v>
      </c>
      <c r="C494" s="581">
        <v>0</v>
      </c>
      <c r="D494" s="580" t="s">
        <v>872</v>
      </c>
      <c r="E494" s="580" t="s">
        <v>1549</v>
      </c>
      <c r="F494" s="582" t="s">
        <v>100</v>
      </c>
    </row>
    <row r="495" spans="1:6" ht="15">
      <c r="A495" s="583" t="s">
        <v>1174</v>
      </c>
      <c r="B495" s="584" t="s">
        <v>1175</v>
      </c>
      <c r="C495" s="585">
        <v>-1030</v>
      </c>
      <c r="D495" s="584" t="s">
        <v>872</v>
      </c>
      <c r="E495" s="584" t="s">
        <v>1549</v>
      </c>
      <c r="F495" s="586" t="s">
        <v>100</v>
      </c>
    </row>
    <row r="496" spans="1:6" ht="15">
      <c r="A496" s="579" t="s">
        <v>1176</v>
      </c>
      <c r="B496" s="580" t="s">
        <v>1177</v>
      </c>
      <c r="C496" s="581">
        <v>0</v>
      </c>
      <c r="D496" s="580" t="s">
        <v>872</v>
      </c>
      <c r="E496" s="580" t="s">
        <v>1549</v>
      </c>
      <c r="F496" s="582" t="s">
        <v>100</v>
      </c>
    </row>
    <row r="497" spans="1:6" ht="15">
      <c r="A497" s="583" t="s">
        <v>1178</v>
      </c>
      <c r="B497" s="584" t="s">
        <v>1179</v>
      </c>
      <c r="C497" s="585">
        <v>0</v>
      </c>
      <c r="D497" s="584" t="s">
        <v>872</v>
      </c>
      <c r="E497" s="584" t="s">
        <v>1549</v>
      </c>
      <c r="F497" s="586" t="s">
        <v>100</v>
      </c>
    </row>
    <row r="498" spans="1:6" ht="15">
      <c r="A498" s="579" t="s">
        <v>1180</v>
      </c>
      <c r="B498" s="580" t="s">
        <v>1181</v>
      </c>
      <c r="C498" s="581">
        <v>20710</v>
      </c>
      <c r="D498" s="580" t="s">
        <v>872</v>
      </c>
      <c r="E498" s="580" t="s">
        <v>1549</v>
      </c>
      <c r="F498" s="582" t="s">
        <v>100</v>
      </c>
    </row>
    <row r="499" spans="1:6" ht="15">
      <c r="A499" s="583" t="s">
        <v>1182</v>
      </c>
      <c r="B499" s="584" t="s">
        <v>1183</v>
      </c>
      <c r="C499" s="585">
        <v>-98818.89</v>
      </c>
      <c r="D499" s="584" t="s">
        <v>872</v>
      </c>
      <c r="E499" s="584" t="s">
        <v>1549</v>
      </c>
      <c r="F499" s="586" t="s">
        <v>100</v>
      </c>
    </row>
    <row r="500" spans="1:6" ht="15">
      <c r="A500" s="579" t="s">
        <v>1184</v>
      </c>
      <c r="B500" s="580" t="s">
        <v>1185</v>
      </c>
      <c r="C500" s="581">
        <v>-28554.84</v>
      </c>
      <c r="D500" s="580" t="s">
        <v>872</v>
      </c>
      <c r="E500" s="580" t="s">
        <v>1549</v>
      </c>
      <c r="F500" s="582" t="s">
        <v>100</v>
      </c>
    </row>
    <row r="501" spans="1:6" ht="15">
      <c r="A501" s="583" t="s">
        <v>1186</v>
      </c>
      <c r="B501" s="584" t="s">
        <v>1618</v>
      </c>
      <c r="C501" s="585">
        <v>18536.22</v>
      </c>
      <c r="D501" s="584" t="s">
        <v>872</v>
      </c>
      <c r="E501" s="584" t="s">
        <v>1549</v>
      </c>
      <c r="F501" s="586" t="s">
        <v>100</v>
      </c>
    </row>
    <row r="502" spans="1:6" ht="15">
      <c r="A502" s="579" t="s">
        <v>1188</v>
      </c>
      <c r="B502" s="580" t="s">
        <v>1189</v>
      </c>
      <c r="C502" s="581">
        <v>0</v>
      </c>
      <c r="D502" s="580" t="s">
        <v>872</v>
      </c>
      <c r="E502" s="580" t="s">
        <v>1549</v>
      </c>
      <c r="F502" s="582" t="s">
        <v>100</v>
      </c>
    </row>
    <row r="503" spans="1:6" ht="15">
      <c r="A503" s="583" t="s">
        <v>1190</v>
      </c>
      <c r="B503" s="584" t="s">
        <v>1619</v>
      </c>
      <c r="C503" s="585">
        <v>-195897.77</v>
      </c>
      <c r="D503" s="584" t="s">
        <v>872</v>
      </c>
      <c r="E503" s="584" t="s">
        <v>1549</v>
      </c>
      <c r="F503" s="586" t="s">
        <v>100</v>
      </c>
    </row>
    <row r="504" spans="1:6" ht="15">
      <c r="A504" s="579" t="s">
        <v>1192</v>
      </c>
      <c r="B504" s="580" t="s">
        <v>1620</v>
      </c>
      <c r="C504" s="581">
        <v>186160.41</v>
      </c>
      <c r="D504" s="580" t="s">
        <v>872</v>
      </c>
      <c r="E504" s="580" t="s">
        <v>1549</v>
      </c>
      <c r="F504" s="582" t="s">
        <v>100</v>
      </c>
    </row>
    <row r="505" spans="1:6" ht="15">
      <c r="A505" s="583" t="s">
        <v>1194</v>
      </c>
      <c r="B505" s="584" t="s">
        <v>1195</v>
      </c>
      <c r="C505" s="585">
        <v>-1127.18</v>
      </c>
      <c r="D505" s="584" t="s">
        <v>872</v>
      </c>
      <c r="E505" s="584" t="s">
        <v>1549</v>
      </c>
      <c r="F505" s="586" t="s">
        <v>100</v>
      </c>
    </row>
    <row r="506" spans="1:6" ht="15">
      <c r="A506" s="579" t="s">
        <v>1196</v>
      </c>
      <c r="B506" s="580" t="s">
        <v>1197</v>
      </c>
      <c r="C506" s="581">
        <v>0</v>
      </c>
      <c r="D506" s="580" t="s">
        <v>872</v>
      </c>
      <c r="E506" s="580" t="s">
        <v>1549</v>
      </c>
      <c r="F506" s="582" t="s">
        <v>100</v>
      </c>
    </row>
    <row r="507" spans="1:6" ht="15">
      <c r="A507" s="583" t="s">
        <v>1198</v>
      </c>
      <c r="B507" s="584" t="s">
        <v>1199</v>
      </c>
      <c r="C507" s="585">
        <v>-78145.119999999995</v>
      </c>
      <c r="D507" s="584" t="s">
        <v>872</v>
      </c>
      <c r="E507" s="584" t="s">
        <v>1549</v>
      </c>
      <c r="F507" s="586" t="s">
        <v>100</v>
      </c>
    </row>
    <row r="508" spans="1:6" ht="15">
      <c r="A508" s="579" t="s">
        <v>1200</v>
      </c>
      <c r="B508" s="580" t="s">
        <v>1201</v>
      </c>
      <c r="C508" s="581">
        <v>-183202.17</v>
      </c>
      <c r="D508" s="580" t="s">
        <v>872</v>
      </c>
      <c r="E508" s="580" t="s">
        <v>1550</v>
      </c>
      <c r="F508" s="582" t="s">
        <v>1202</v>
      </c>
    </row>
    <row r="509" spans="1:6" ht="15">
      <c r="A509" s="583" t="s">
        <v>1203</v>
      </c>
      <c r="B509" s="584" t="s">
        <v>1204</v>
      </c>
      <c r="C509" s="585">
        <v>0</v>
      </c>
      <c r="D509" s="584" t="s">
        <v>872</v>
      </c>
      <c r="E509" s="584" t="s">
        <v>1548</v>
      </c>
      <c r="F509" s="586" t="s">
        <v>100</v>
      </c>
    </row>
    <row r="510" spans="1:6" ht="15">
      <c r="A510" s="579" t="s">
        <v>1205</v>
      </c>
      <c r="B510" s="580" t="s">
        <v>1206</v>
      </c>
      <c r="C510" s="581">
        <v>-544414.05000000005</v>
      </c>
      <c r="D510" s="580" t="s">
        <v>872</v>
      </c>
      <c r="E510" s="580" t="s">
        <v>1549</v>
      </c>
      <c r="F510" s="582" t="s">
        <v>100</v>
      </c>
    </row>
    <row r="511" spans="1:6" ht="15">
      <c r="A511" s="583" t="s">
        <v>1207</v>
      </c>
      <c r="B511" s="584" t="s">
        <v>1208</v>
      </c>
      <c r="C511" s="585">
        <v>-544414.05000000005</v>
      </c>
      <c r="D511" s="584" t="s">
        <v>872</v>
      </c>
      <c r="E511" s="584" t="s">
        <v>1550</v>
      </c>
      <c r="F511" s="586" t="s">
        <v>1209</v>
      </c>
    </row>
    <row r="512" spans="1:6" ht="15">
      <c r="A512" s="579" t="s">
        <v>1210</v>
      </c>
      <c r="B512" s="580" t="s">
        <v>1211</v>
      </c>
      <c r="C512" s="581">
        <v>0</v>
      </c>
      <c r="D512" s="580" t="s">
        <v>872</v>
      </c>
      <c r="E512" s="580" t="s">
        <v>1548</v>
      </c>
      <c r="F512" s="582" t="s">
        <v>100</v>
      </c>
    </row>
    <row r="513" spans="1:6" ht="15">
      <c r="A513" s="583" t="s">
        <v>1212</v>
      </c>
      <c r="B513" s="584" t="s">
        <v>1622</v>
      </c>
      <c r="C513" s="585">
        <v>0</v>
      </c>
      <c r="D513" s="584" t="s">
        <v>872</v>
      </c>
      <c r="E513" s="584" t="s">
        <v>1549</v>
      </c>
      <c r="F513" s="586" t="s">
        <v>100</v>
      </c>
    </row>
    <row r="514" spans="1:6" ht="15">
      <c r="A514" s="579" t="s">
        <v>1214</v>
      </c>
      <c r="B514" s="580" t="s">
        <v>1623</v>
      </c>
      <c r="C514" s="581">
        <v>0</v>
      </c>
      <c r="D514" s="580" t="s">
        <v>872</v>
      </c>
      <c r="E514" s="580" t="s">
        <v>1549</v>
      </c>
      <c r="F514" s="582" t="s">
        <v>100</v>
      </c>
    </row>
    <row r="515" spans="1:6" ht="15">
      <c r="A515" s="583" t="s">
        <v>1216</v>
      </c>
      <c r="B515" s="584" t="s">
        <v>1217</v>
      </c>
      <c r="C515" s="585">
        <v>-27458.82</v>
      </c>
      <c r="D515" s="584" t="s">
        <v>872</v>
      </c>
      <c r="E515" s="584" t="s">
        <v>1549</v>
      </c>
      <c r="F515" s="586" t="s">
        <v>100</v>
      </c>
    </row>
    <row r="516" spans="1:6" ht="15">
      <c r="A516" s="579" t="s">
        <v>1218</v>
      </c>
      <c r="B516" s="580" t="s">
        <v>1219</v>
      </c>
      <c r="C516" s="581">
        <v>-24140.91</v>
      </c>
      <c r="D516" s="580" t="s">
        <v>872</v>
      </c>
      <c r="E516" s="580" t="s">
        <v>1549</v>
      </c>
      <c r="F516" s="582" t="s">
        <v>100</v>
      </c>
    </row>
    <row r="517" spans="1:6" ht="15">
      <c r="A517" s="583" t="s">
        <v>1220</v>
      </c>
      <c r="B517" s="584" t="s">
        <v>1221</v>
      </c>
      <c r="C517" s="585">
        <v>-2693.1</v>
      </c>
      <c r="D517" s="584" t="s">
        <v>872</v>
      </c>
      <c r="E517" s="584" t="s">
        <v>1549</v>
      </c>
      <c r="F517" s="586" t="s">
        <v>100</v>
      </c>
    </row>
    <row r="518" spans="1:6" ht="15">
      <c r="A518" s="579" t="s">
        <v>1222</v>
      </c>
      <c r="B518" s="580" t="s">
        <v>1223</v>
      </c>
      <c r="C518" s="581">
        <v>-5658.61</v>
      </c>
      <c r="D518" s="580" t="s">
        <v>872</v>
      </c>
      <c r="E518" s="580" t="s">
        <v>1549</v>
      </c>
      <c r="F518" s="582" t="s">
        <v>100</v>
      </c>
    </row>
    <row r="519" spans="1:6" ht="15">
      <c r="A519" s="583" t="s">
        <v>1224</v>
      </c>
      <c r="B519" s="584" t="s">
        <v>1624</v>
      </c>
      <c r="C519" s="585">
        <v>0</v>
      </c>
      <c r="D519" s="584" t="s">
        <v>872</v>
      </c>
      <c r="E519" s="584" t="s">
        <v>1549</v>
      </c>
      <c r="F519" s="586" t="s">
        <v>100</v>
      </c>
    </row>
    <row r="520" spans="1:6" ht="15">
      <c r="A520" s="579" t="s">
        <v>1226</v>
      </c>
      <c r="B520" s="580" t="s">
        <v>1225</v>
      </c>
      <c r="C520" s="581">
        <v>-1431</v>
      </c>
      <c r="D520" s="580" t="s">
        <v>872</v>
      </c>
      <c r="E520" s="580" t="s">
        <v>1549</v>
      </c>
      <c r="F520" s="582" t="s">
        <v>100</v>
      </c>
    </row>
    <row r="521" spans="1:6" ht="15">
      <c r="A521" s="583" t="s">
        <v>1228</v>
      </c>
      <c r="B521" s="584" t="s">
        <v>1229</v>
      </c>
      <c r="C521" s="585">
        <v>-61382.44</v>
      </c>
      <c r="D521" s="584" t="s">
        <v>872</v>
      </c>
      <c r="E521" s="584" t="s">
        <v>1550</v>
      </c>
      <c r="F521" s="586" t="s">
        <v>1230</v>
      </c>
    </row>
    <row r="522" spans="1:6" ht="15">
      <c r="A522" s="579" t="s">
        <v>1231</v>
      </c>
      <c r="B522" s="580" t="s">
        <v>1232</v>
      </c>
      <c r="C522" s="581">
        <v>0</v>
      </c>
      <c r="D522" s="580" t="s">
        <v>872</v>
      </c>
      <c r="E522" s="580" t="s">
        <v>1548</v>
      </c>
      <c r="F522" s="582" t="s">
        <v>100</v>
      </c>
    </row>
    <row r="523" spans="1:6" ht="15">
      <c r="A523" s="583" t="s">
        <v>1233</v>
      </c>
      <c r="B523" s="584" t="s">
        <v>1234</v>
      </c>
      <c r="C523" s="585">
        <v>-3223.65</v>
      </c>
      <c r="D523" s="584" t="s">
        <v>872</v>
      </c>
      <c r="E523" s="584" t="s">
        <v>1549</v>
      </c>
      <c r="F523" s="586" t="s">
        <v>100</v>
      </c>
    </row>
    <row r="524" spans="1:6" ht="15">
      <c r="A524" s="579" t="s">
        <v>1235</v>
      </c>
      <c r="B524" s="580" t="s">
        <v>1236</v>
      </c>
      <c r="C524" s="581">
        <v>0</v>
      </c>
      <c r="D524" s="580" t="s">
        <v>872</v>
      </c>
      <c r="E524" s="580" t="s">
        <v>1549</v>
      </c>
      <c r="F524" s="582" t="s">
        <v>100</v>
      </c>
    </row>
    <row r="525" spans="1:6" ht="15">
      <c r="A525" s="583" t="s">
        <v>1237</v>
      </c>
      <c r="B525" s="584" t="s">
        <v>1238</v>
      </c>
      <c r="C525" s="585">
        <v>0</v>
      </c>
      <c r="D525" s="584" t="s">
        <v>872</v>
      </c>
      <c r="E525" s="584" t="s">
        <v>1549</v>
      </c>
      <c r="F525" s="586" t="s">
        <v>100</v>
      </c>
    </row>
    <row r="526" spans="1:6" ht="15">
      <c r="A526" s="579" t="s">
        <v>1239</v>
      </c>
      <c r="B526" s="580" t="s">
        <v>1240</v>
      </c>
      <c r="C526" s="581">
        <v>-208799.5</v>
      </c>
      <c r="D526" s="580" t="s">
        <v>872</v>
      </c>
      <c r="E526" s="580" t="s">
        <v>1549</v>
      </c>
      <c r="F526" s="582" t="s">
        <v>100</v>
      </c>
    </row>
    <row r="527" spans="1:6" ht="15">
      <c r="A527" s="583" t="s">
        <v>1241</v>
      </c>
      <c r="B527" s="584" t="s">
        <v>1242</v>
      </c>
      <c r="C527" s="585">
        <v>0</v>
      </c>
      <c r="D527" s="584" t="s">
        <v>872</v>
      </c>
      <c r="E527" s="584" t="s">
        <v>1549</v>
      </c>
      <c r="F527" s="586" t="s">
        <v>100</v>
      </c>
    </row>
    <row r="528" spans="1:6" ht="15">
      <c r="A528" s="579" t="s">
        <v>1243</v>
      </c>
      <c r="B528" s="580" t="s">
        <v>1244</v>
      </c>
      <c r="C528" s="581">
        <v>0</v>
      </c>
      <c r="D528" s="580" t="s">
        <v>872</v>
      </c>
      <c r="E528" s="580" t="s">
        <v>1549</v>
      </c>
      <c r="F528" s="582" t="s">
        <v>100</v>
      </c>
    </row>
    <row r="529" spans="1:6" ht="15">
      <c r="A529" s="583" t="s">
        <v>1245</v>
      </c>
      <c r="B529" s="584" t="s">
        <v>1246</v>
      </c>
      <c r="C529" s="585">
        <v>-221415.76</v>
      </c>
      <c r="D529" s="584" t="s">
        <v>872</v>
      </c>
      <c r="E529" s="584" t="s">
        <v>1549</v>
      </c>
      <c r="F529" s="586" t="s">
        <v>100</v>
      </c>
    </row>
    <row r="530" spans="1:6" ht="15">
      <c r="A530" s="579" t="s">
        <v>1247</v>
      </c>
      <c r="B530" s="580" t="s">
        <v>1248</v>
      </c>
      <c r="C530" s="581">
        <v>0</v>
      </c>
      <c r="D530" s="580" t="s">
        <v>872</v>
      </c>
      <c r="E530" s="580" t="s">
        <v>1549</v>
      </c>
      <c r="F530" s="582" t="s">
        <v>100</v>
      </c>
    </row>
    <row r="531" spans="1:6" ht="15">
      <c r="A531" s="583" t="s">
        <v>1249</v>
      </c>
      <c r="B531" s="584" t="s">
        <v>1250</v>
      </c>
      <c r="C531" s="585">
        <v>-433438.91</v>
      </c>
      <c r="D531" s="584" t="s">
        <v>872</v>
      </c>
      <c r="E531" s="584" t="s">
        <v>1550</v>
      </c>
      <c r="F531" s="586" t="s">
        <v>1251</v>
      </c>
    </row>
    <row r="532" spans="1:6" ht="15">
      <c r="A532" s="579" t="s">
        <v>1252</v>
      </c>
      <c r="B532" s="580" t="s">
        <v>1253</v>
      </c>
      <c r="C532" s="581">
        <v>0</v>
      </c>
      <c r="D532" s="580" t="s">
        <v>872</v>
      </c>
      <c r="E532" s="580" t="s">
        <v>1548</v>
      </c>
      <c r="F532" s="582" t="s">
        <v>100</v>
      </c>
    </row>
    <row r="533" spans="1:6" ht="15">
      <c r="A533" s="583" t="s">
        <v>1254</v>
      </c>
      <c r="B533" s="584" t="s">
        <v>155</v>
      </c>
      <c r="C533" s="585">
        <v>0</v>
      </c>
      <c r="D533" s="584" t="s">
        <v>872</v>
      </c>
      <c r="E533" s="584" t="s">
        <v>1548</v>
      </c>
      <c r="F533" s="586" t="s">
        <v>100</v>
      </c>
    </row>
    <row r="534" spans="1:6" ht="15">
      <c r="A534" s="579" t="s">
        <v>1255</v>
      </c>
      <c r="B534" s="580" t="s">
        <v>1256</v>
      </c>
      <c r="C534" s="581">
        <v>0</v>
      </c>
      <c r="D534" s="580" t="s">
        <v>872</v>
      </c>
      <c r="E534" s="580" t="s">
        <v>1548</v>
      </c>
      <c r="F534" s="582" t="s">
        <v>100</v>
      </c>
    </row>
    <row r="535" spans="1:6" ht="15">
      <c r="A535" s="583" t="s">
        <v>1257</v>
      </c>
      <c r="B535" s="584" t="s">
        <v>1258</v>
      </c>
      <c r="C535" s="585">
        <v>-4897004.3499999996</v>
      </c>
      <c r="D535" s="584" t="s">
        <v>872</v>
      </c>
      <c r="E535" s="584" t="s">
        <v>1549</v>
      </c>
      <c r="F535" s="586" t="s">
        <v>100</v>
      </c>
    </row>
    <row r="536" spans="1:6" ht="15">
      <c r="A536" s="579" t="s">
        <v>1259</v>
      </c>
      <c r="B536" s="580" t="s">
        <v>1260</v>
      </c>
      <c r="C536" s="581">
        <v>-13374030</v>
      </c>
      <c r="D536" s="580" t="s">
        <v>872</v>
      </c>
      <c r="E536" s="580" t="s">
        <v>1549</v>
      </c>
      <c r="F536" s="582" t="s">
        <v>100</v>
      </c>
    </row>
    <row r="537" spans="1:6" ht="15">
      <c r="A537" s="583" t="s">
        <v>1261</v>
      </c>
      <c r="B537" s="584" t="s">
        <v>1262</v>
      </c>
      <c r="C537" s="585">
        <v>-41536.839999999997</v>
      </c>
      <c r="D537" s="584" t="s">
        <v>872</v>
      </c>
      <c r="E537" s="584" t="s">
        <v>1549</v>
      </c>
      <c r="F537" s="586" t="s">
        <v>100</v>
      </c>
    </row>
    <row r="538" spans="1:6" ht="15">
      <c r="A538" s="579" t="s">
        <v>1263</v>
      </c>
      <c r="B538" s="580" t="s">
        <v>1264</v>
      </c>
      <c r="C538" s="581">
        <v>-594042.56999999995</v>
      </c>
      <c r="D538" s="580" t="s">
        <v>872</v>
      </c>
      <c r="E538" s="580" t="s">
        <v>1549</v>
      </c>
      <c r="F538" s="582" t="s">
        <v>100</v>
      </c>
    </row>
    <row r="539" spans="1:6" ht="15">
      <c r="A539" s="583" t="s">
        <v>1265</v>
      </c>
      <c r="B539" s="584" t="s">
        <v>1625</v>
      </c>
      <c r="C539" s="585">
        <v>-365646.19</v>
      </c>
      <c r="D539" s="584" t="s">
        <v>872</v>
      </c>
      <c r="E539" s="584" t="s">
        <v>1549</v>
      </c>
      <c r="F539" s="586" t="s">
        <v>100</v>
      </c>
    </row>
    <row r="540" spans="1:6" ht="15">
      <c r="A540" s="579" t="s">
        <v>1267</v>
      </c>
      <c r="B540" s="580" t="s">
        <v>1268</v>
      </c>
      <c r="C540" s="581">
        <v>-23391.73</v>
      </c>
      <c r="D540" s="580" t="s">
        <v>872</v>
      </c>
      <c r="E540" s="580" t="s">
        <v>1549</v>
      </c>
      <c r="F540" s="582" t="s">
        <v>100</v>
      </c>
    </row>
    <row r="541" spans="1:6" ht="15">
      <c r="A541" s="583" t="s">
        <v>1269</v>
      </c>
      <c r="B541" s="584" t="s">
        <v>1270</v>
      </c>
      <c r="C541" s="585">
        <v>-19295651.68</v>
      </c>
      <c r="D541" s="584" t="s">
        <v>872</v>
      </c>
      <c r="E541" s="584" t="s">
        <v>1550</v>
      </c>
      <c r="F541" s="586" t="s">
        <v>1271</v>
      </c>
    </row>
    <row r="542" spans="1:6" ht="15">
      <c r="A542" s="579" t="s">
        <v>1272</v>
      </c>
      <c r="B542" s="580" t="s">
        <v>189</v>
      </c>
      <c r="C542" s="581">
        <v>0</v>
      </c>
      <c r="D542" s="580" t="s">
        <v>872</v>
      </c>
      <c r="E542" s="580" t="s">
        <v>1548</v>
      </c>
      <c r="F542" s="582" t="s">
        <v>100</v>
      </c>
    </row>
    <row r="543" spans="1:6" ht="15">
      <c r="A543" s="583" t="s">
        <v>1273</v>
      </c>
      <c r="B543" s="584" t="s">
        <v>1110</v>
      </c>
      <c r="C543" s="585">
        <v>-3122180.5</v>
      </c>
      <c r="D543" s="584" t="s">
        <v>872</v>
      </c>
      <c r="E543" s="584" t="s">
        <v>1549</v>
      </c>
      <c r="F543" s="586" t="s">
        <v>100</v>
      </c>
    </row>
    <row r="544" spans="1:6" ht="15">
      <c r="A544" s="579" t="s">
        <v>1274</v>
      </c>
      <c r="B544" s="580" t="s">
        <v>1626</v>
      </c>
      <c r="C544" s="581">
        <v>-347304.58</v>
      </c>
      <c r="D544" s="580" t="s">
        <v>872</v>
      </c>
      <c r="E544" s="580" t="s">
        <v>1549</v>
      </c>
      <c r="F544" s="582" t="s">
        <v>100</v>
      </c>
    </row>
    <row r="545" spans="1:6" ht="15">
      <c r="A545" s="583" t="s">
        <v>1276</v>
      </c>
      <c r="B545" s="584" t="s">
        <v>1277</v>
      </c>
      <c r="C545" s="585">
        <v>0</v>
      </c>
      <c r="D545" s="584" t="s">
        <v>872</v>
      </c>
      <c r="E545" s="584" t="s">
        <v>1549</v>
      </c>
      <c r="F545" s="586" t="s">
        <v>100</v>
      </c>
    </row>
    <row r="546" spans="1:6" ht="15">
      <c r="A546" s="579" t="s">
        <v>1278</v>
      </c>
      <c r="B546" s="580" t="s">
        <v>1279</v>
      </c>
      <c r="C546" s="581">
        <v>-370819.4</v>
      </c>
      <c r="D546" s="580" t="s">
        <v>872</v>
      </c>
      <c r="E546" s="580" t="s">
        <v>1549</v>
      </c>
      <c r="F546" s="582" t="s">
        <v>100</v>
      </c>
    </row>
    <row r="547" spans="1:6" ht="15">
      <c r="A547" s="583" t="s">
        <v>1280</v>
      </c>
      <c r="B547" s="584" t="s">
        <v>1281</v>
      </c>
      <c r="C547" s="585">
        <v>61228.26</v>
      </c>
      <c r="D547" s="584" t="s">
        <v>872</v>
      </c>
      <c r="E547" s="584" t="s">
        <v>1549</v>
      </c>
      <c r="F547" s="586" t="s">
        <v>100</v>
      </c>
    </row>
    <row r="548" spans="1:6" ht="15">
      <c r="A548" s="579" t="s">
        <v>1282</v>
      </c>
      <c r="B548" s="580" t="s">
        <v>251</v>
      </c>
      <c r="C548" s="581">
        <v>-3779076.22</v>
      </c>
      <c r="D548" s="580" t="s">
        <v>872</v>
      </c>
      <c r="E548" s="580" t="s">
        <v>1550</v>
      </c>
      <c r="F548" s="582" t="s">
        <v>1283</v>
      </c>
    </row>
    <row r="549" spans="1:6" ht="15">
      <c r="A549" s="583" t="s">
        <v>1284</v>
      </c>
      <c r="B549" s="584" t="s">
        <v>278</v>
      </c>
      <c r="C549" s="585">
        <v>-23074727.899999999</v>
      </c>
      <c r="D549" s="584" t="s">
        <v>872</v>
      </c>
      <c r="E549" s="584" t="s">
        <v>1550</v>
      </c>
      <c r="F549" s="586" t="s">
        <v>1285</v>
      </c>
    </row>
    <row r="550" spans="1:6" ht="15">
      <c r="A550" s="579" t="s">
        <v>1286</v>
      </c>
      <c r="B550" s="580" t="s">
        <v>281</v>
      </c>
      <c r="C550" s="581">
        <v>0</v>
      </c>
      <c r="D550" s="580" t="s">
        <v>872</v>
      </c>
      <c r="E550" s="580" t="s">
        <v>1548</v>
      </c>
      <c r="F550" s="582" t="s">
        <v>100</v>
      </c>
    </row>
    <row r="551" spans="1:6" ht="15">
      <c r="A551" s="583" t="s">
        <v>1287</v>
      </c>
      <c r="B551" s="584" t="s">
        <v>1288</v>
      </c>
      <c r="C551" s="585">
        <v>0</v>
      </c>
      <c r="D551" s="584" t="s">
        <v>872</v>
      </c>
      <c r="E551" s="584" t="s">
        <v>1548</v>
      </c>
      <c r="F551" s="586" t="s">
        <v>100</v>
      </c>
    </row>
    <row r="552" spans="1:6" ht="15">
      <c r="A552" s="579" t="s">
        <v>1289</v>
      </c>
      <c r="B552" s="580" t="s">
        <v>47</v>
      </c>
      <c r="C552" s="581">
        <v>1646964.93</v>
      </c>
      <c r="D552" s="580" t="s">
        <v>872</v>
      </c>
      <c r="E552" s="580" t="s">
        <v>1549</v>
      </c>
      <c r="F552" s="582" t="s">
        <v>100</v>
      </c>
    </row>
    <row r="553" spans="1:6" ht="15">
      <c r="A553" s="583" t="s">
        <v>1290</v>
      </c>
      <c r="B553" s="584" t="s">
        <v>1627</v>
      </c>
      <c r="C553" s="585">
        <v>12243.6</v>
      </c>
      <c r="D553" s="584" t="s">
        <v>872</v>
      </c>
      <c r="E553" s="584" t="s">
        <v>1549</v>
      </c>
      <c r="F553" s="586" t="s">
        <v>100</v>
      </c>
    </row>
    <row r="554" spans="1:6" ht="15">
      <c r="A554" s="579" t="s">
        <v>1292</v>
      </c>
      <c r="B554" s="580" t="s">
        <v>1293</v>
      </c>
      <c r="C554" s="581">
        <v>71329.34</v>
      </c>
      <c r="D554" s="580" t="s">
        <v>872</v>
      </c>
      <c r="E554" s="580" t="s">
        <v>1549</v>
      </c>
      <c r="F554" s="582" t="s">
        <v>100</v>
      </c>
    </row>
    <row r="555" spans="1:6" ht="15">
      <c r="A555" s="583" t="s">
        <v>1294</v>
      </c>
      <c r="B555" s="584" t="s">
        <v>1295</v>
      </c>
      <c r="C555" s="585">
        <v>60941.89</v>
      </c>
      <c r="D555" s="584" t="s">
        <v>872</v>
      </c>
      <c r="E555" s="584" t="s">
        <v>1549</v>
      </c>
      <c r="F555" s="586" t="s">
        <v>100</v>
      </c>
    </row>
    <row r="556" spans="1:6" ht="15">
      <c r="A556" s="579" t="s">
        <v>1296</v>
      </c>
      <c r="B556" s="580" t="s">
        <v>1297</v>
      </c>
      <c r="C556" s="581">
        <v>0</v>
      </c>
      <c r="D556" s="580" t="s">
        <v>872</v>
      </c>
      <c r="E556" s="580" t="s">
        <v>1549</v>
      </c>
      <c r="F556" s="582" t="s">
        <v>100</v>
      </c>
    </row>
    <row r="557" spans="1:6" ht="15">
      <c r="A557" s="583" t="s">
        <v>1298</v>
      </c>
      <c r="B557" s="584" t="s">
        <v>1299</v>
      </c>
      <c r="C557" s="585">
        <v>8657.7900000000009</v>
      </c>
      <c r="D557" s="584" t="s">
        <v>872</v>
      </c>
      <c r="E557" s="584" t="s">
        <v>1549</v>
      </c>
      <c r="F557" s="586" t="s">
        <v>100</v>
      </c>
    </row>
    <row r="558" spans="1:6" ht="15">
      <c r="A558" s="579" t="s">
        <v>1300</v>
      </c>
      <c r="B558" s="580" t="s">
        <v>1301</v>
      </c>
      <c r="C558" s="581">
        <v>7306.41</v>
      </c>
      <c r="D558" s="580" t="s">
        <v>872</v>
      </c>
      <c r="E558" s="580" t="s">
        <v>1549</v>
      </c>
      <c r="F558" s="582" t="s">
        <v>100</v>
      </c>
    </row>
    <row r="559" spans="1:6" ht="15">
      <c r="A559" s="583" t="s">
        <v>1302</v>
      </c>
      <c r="B559" s="584" t="s">
        <v>1303</v>
      </c>
      <c r="C559" s="585">
        <v>489613.38</v>
      </c>
      <c r="D559" s="584" t="s">
        <v>872</v>
      </c>
      <c r="E559" s="584" t="s">
        <v>1549</v>
      </c>
      <c r="F559" s="586" t="s">
        <v>100</v>
      </c>
    </row>
    <row r="560" spans="1:6" ht="15">
      <c r="A560" s="579" t="s">
        <v>1304</v>
      </c>
      <c r="B560" s="580" t="s">
        <v>664</v>
      </c>
      <c r="C560" s="581">
        <v>5476057.3399999999</v>
      </c>
      <c r="D560" s="580" t="s">
        <v>872</v>
      </c>
      <c r="E560" s="580" t="s">
        <v>1549</v>
      </c>
      <c r="F560" s="582" t="s">
        <v>100</v>
      </c>
    </row>
    <row r="561" spans="1:6" ht="15">
      <c r="A561" s="583" t="s">
        <v>1305</v>
      </c>
      <c r="B561" s="584" t="s">
        <v>1306</v>
      </c>
      <c r="C561" s="585">
        <v>465748.82</v>
      </c>
      <c r="D561" s="584" t="s">
        <v>872</v>
      </c>
      <c r="E561" s="584" t="s">
        <v>1549</v>
      </c>
      <c r="F561" s="586" t="s">
        <v>100</v>
      </c>
    </row>
    <row r="562" spans="1:6" ht="15">
      <c r="A562" s="579" t="s">
        <v>1307</v>
      </c>
      <c r="B562" s="580" t="s">
        <v>1628</v>
      </c>
      <c r="C562" s="581">
        <v>1918368.69</v>
      </c>
      <c r="D562" s="580" t="s">
        <v>872</v>
      </c>
      <c r="E562" s="580" t="s">
        <v>1549</v>
      </c>
      <c r="F562" s="582" t="s">
        <v>100</v>
      </c>
    </row>
    <row r="563" spans="1:6" ht="15">
      <c r="A563" s="583" t="s">
        <v>1309</v>
      </c>
      <c r="B563" s="584" t="s">
        <v>1310</v>
      </c>
      <c r="C563" s="585">
        <v>310004.37</v>
      </c>
      <c r="D563" s="584" t="s">
        <v>872</v>
      </c>
      <c r="E563" s="584" t="s">
        <v>1549</v>
      </c>
      <c r="F563" s="586" t="s">
        <v>100</v>
      </c>
    </row>
    <row r="564" spans="1:6" ht="15">
      <c r="A564" s="579" t="s">
        <v>1311</v>
      </c>
      <c r="B564" s="580" t="s">
        <v>1312</v>
      </c>
      <c r="C564" s="581">
        <v>208123</v>
      </c>
      <c r="D564" s="580" t="s">
        <v>872</v>
      </c>
      <c r="E564" s="580" t="s">
        <v>1549</v>
      </c>
      <c r="F564" s="582" t="s">
        <v>100</v>
      </c>
    </row>
    <row r="565" spans="1:6" ht="15">
      <c r="A565" s="583" t="s">
        <v>1313</v>
      </c>
      <c r="B565" s="584" t="s">
        <v>1314</v>
      </c>
      <c r="C565" s="585">
        <v>636503.59</v>
      </c>
      <c r="D565" s="584" t="s">
        <v>872</v>
      </c>
      <c r="E565" s="584" t="s">
        <v>1549</v>
      </c>
      <c r="F565" s="586" t="s">
        <v>100</v>
      </c>
    </row>
    <row r="566" spans="1:6" ht="15">
      <c r="A566" s="579" t="s">
        <v>1315</v>
      </c>
      <c r="B566" s="580" t="s">
        <v>1316</v>
      </c>
      <c r="C566" s="581">
        <v>0</v>
      </c>
      <c r="D566" s="580" t="s">
        <v>872</v>
      </c>
      <c r="E566" s="580" t="s">
        <v>1549</v>
      </c>
      <c r="F566" s="582" t="s">
        <v>100</v>
      </c>
    </row>
    <row r="567" spans="1:6" ht="15">
      <c r="A567" s="583" t="s">
        <v>1317</v>
      </c>
      <c r="B567" s="584" t="s">
        <v>1318</v>
      </c>
      <c r="C567" s="585">
        <v>6000</v>
      </c>
      <c r="D567" s="584" t="s">
        <v>872</v>
      </c>
      <c r="E567" s="584" t="s">
        <v>1549</v>
      </c>
      <c r="F567" s="586" t="s">
        <v>100</v>
      </c>
    </row>
    <row r="568" spans="1:6" ht="15">
      <c r="A568" s="579" t="s">
        <v>1319</v>
      </c>
      <c r="B568" s="580" t="s">
        <v>1320</v>
      </c>
      <c r="C568" s="581">
        <v>11317863.15</v>
      </c>
      <c r="D568" s="580" t="s">
        <v>872</v>
      </c>
      <c r="E568" s="580" t="s">
        <v>1550</v>
      </c>
      <c r="F568" s="582" t="s">
        <v>1321</v>
      </c>
    </row>
    <row r="569" spans="1:6" ht="15">
      <c r="A569" s="583" t="s">
        <v>1322</v>
      </c>
      <c r="B569" s="584" t="s">
        <v>1323</v>
      </c>
      <c r="C569" s="585">
        <v>0</v>
      </c>
      <c r="D569" s="584" t="s">
        <v>872</v>
      </c>
      <c r="E569" s="584" t="s">
        <v>1548</v>
      </c>
      <c r="F569" s="586" t="s">
        <v>100</v>
      </c>
    </row>
    <row r="570" spans="1:6" ht="15">
      <c r="A570" s="579" t="s">
        <v>1324</v>
      </c>
      <c r="B570" s="580" t="s">
        <v>1325</v>
      </c>
      <c r="C570" s="581">
        <v>89808.39</v>
      </c>
      <c r="D570" s="580" t="s">
        <v>872</v>
      </c>
      <c r="E570" s="580" t="s">
        <v>1549</v>
      </c>
      <c r="F570" s="582" t="s">
        <v>100</v>
      </c>
    </row>
    <row r="571" spans="1:6" ht="15">
      <c r="A571" s="583" t="s">
        <v>1326</v>
      </c>
      <c r="B571" s="584" t="s">
        <v>1327</v>
      </c>
      <c r="C571" s="585">
        <v>0</v>
      </c>
      <c r="D571" s="584" t="s">
        <v>872</v>
      </c>
      <c r="E571" s="584" t="s">
        <v>1549</v>
      </c>
      <c r="F571" s="586" t="s">
        <v>100</v>
      </c>
    </row>
    <row r="572" spans="1:6" ht="15">
      <c r="A572" s="579" t="s">
        <v>1328</v>
      </c>
      <c r="B572" s="580" t="s">
        <v>1329</v>
      </c>
      <c r="C572" s="581">
        <v>0</v>
      </c>
      <c r="D572" s="580" t="s">
        <v>872</v>
      </c>
      <c r="E572" s="580" t="s">
        <v>1549</v>
      </c>
      <c r="F572" s="582" t="s">
        <v>100</v>
      </c>
    </row>
    <row r="573" spans="1:6" ht="15">
      <c r="A573" s="583" t="s">
        <v>1330</v>
      </c>
      <c r="B573" s="584" t="s">
        <v>1331</v>
      </c>
      <c r="C573" s="585">
        <v>1027.75</v>
      </c>
      <c r="D573" s="584" t="s">
        <v>872</v>
      </c>
      <c r="E573" s="584" t="s">
        <v>1549</v>
      </c>
      <c r="F573" s="586" t="s">
        <v>100</v>
      </c>
    </row>
    <row r="574" spans="1:6" ht="15">
      <c r="A574" s="579" t="s">
        <v>1332</v>
      </c>
      <c r="B574" s="580" t="s">
        <v>1333</v>
      </c>
      <c r="C574" s="581">
        <v>90836.14</v>
      </c>
      <c r="D574" s="580" t="s">
        <v>872</v>
      </c>
      <c r="E574" s="580" t="s">
        <v>1550</v>
      </c>
      <c r="F574" s="582" t="s">
        <v>1334</v>
      </c>
    </row>
    <row r="575" spans="1:6" ht="15">
      <c r="A575" s="583" t="s">
        <v>1335</v>
      </c>
      <c r="B575" s="584" t="s">
        <v>1336</v>
      </c>
      <c r="C575" s="585">
        <v>0</v>
      </c>
      <c r="D575" s="584" t="s">
        <v>872</v>
      </c>
      <c r="E575" s="584" t="s">
        <v>1548</v>
      </c>
      <c r="F575" s="586" t="s">
        <v>100</v>
      </c>
    </row>
    <row r="576" spans="1:6" ht="15">
      <c r="A576" s="579" t="s">
        <v>1337</v>
      </c>
      <c r="B576" s="580" t="s">
        <v>1338</v>
      </c>
      <c r="C576" s="581">
        <v>817448.3</v>
      </c>
      <c r="D576" s="580" t="s">
        <v>872</v>
      </c>
      <c r="E576" s="580" t="s">
        <v>1549</v>
      </c>
      <c r="F576" s="582" t="s">
        <v>100</v>
      </c>
    </row>
    <row r="577" spans="1:6" ht="15">
      <c r="A577" s="583" t="s">
        <v>1339</v>
      </c>
      <c r="B577" s="584" t="s">
        <v>1340</v>
      </c>
      <c r="C577" s="585">
        <v>1952421.17</v>
      </c>
      <c r="D577" s="584" t="s">
        <v>872</v>
      </c>
      <c r="E577" s="584" t="s">
        <v>1549</v>
      </c>
      <c r="F577" s="586" t="s">
        <v>100</v>
      </c>
    </row>
    <row r="578" spans="1:6" ht="15">
      <c r="A578" s="579" t="s">
        <v>1341</v>
      </c>
      <c r="B578" s="580" t="s">
        <v>1342</v>
      </c>
      <c r="C578" s="581">
        <v>158400</v>
      </c>
      <c r="D578" s="580" t="s">
        <v>872</v>
      </c>
      <c r="E578" s="580" t="s">
        <v>1549</v>
      </c>
      <c r="F578" s="582" t="s">
        <v>100</v>
      </c>
    </row>
    <row r="579" spans="1:6" ht="15">
      <c r="A579" s="583" t="s">
        <v>1343</v>
      </c>
      <c r="B579" s="584" t="s">
        <v>1344</v>
      </c>
      <c r="C579" s="585">
        <v>769630.5</v>
      </c>
      <c r="D579" s="584" t="s">
        <v>872</v>
      </c>
      <c r="E579" s="584" t="s">
        <v>1549</v>
      </c>
      <c r="F579" s="586" t="s">
        <v>100</v>
      </c>
    </row>
    <row r="580" spans="1:6" ht="15">
      <c r="A580" s="579" t="s">
        <v>1345</v>
      </c>
      <c r="B580" s="580" t="s">
        <v>1346</v>
      </c>
      <c r="C580" s="581">
        <v>302294.33</v>
      </c>
      <c r="D580" s="580" t="s">
        <v>872</v>
      </c>
      <c r="E580" s="580" t="s">
        <v>1549</v>
      </c>
      <c r="F580" s="582" t="s">
        <v>100</v>
      </c>
    </row>
    <row r="581" spans="1:6" ht="15">
      <c r="A581" s="583" t="s">
        <v>1347</v>
      </c>
      <c r="B581" s="584" t="s">
        <v>1348</v>
      </c>
      <c r="C581" s="585">
        <v>192.16</v>
      </c>
      <c r="D581" s="584" t="s">
        <v>872</v>
      </c>
      <c r="E581" s="584" t="s">
        <v>1549</v>
      </c>
      <c r="F581" s="586" t="s">
        <v>100</v>
      </c>
    </row>
    <row r="582" spans="1:6" ht="15">
      <c r="A582" s="579" t="s">
        <v>1349</v>
      </c>
      <c r="B582" s="580" t="s">
        <v>1350</v>
      </c>
      <c r="C582" s="581">
        <v>121866.31</v>
      </c>
      <c r="D582" s="580" t="s">
        <v>872</v>
      </c>
      <c r="E582" s="580" t="s">
        <v>1549</v>
      </c>
      <c r="F582" s="582" t="s">
        <v>100</v>
      </c>
    </row>
    <row r="583" spans="1:6" ht="15">
      <c r="A583" s="583" t="s">
        <v>1351</v>
      </c>
      <c r="B583" s="584" t="s">
        <v>1352</v>
      </c>
      <c r="C583" s="585">
        <v>0</v>
      </c>
      <c r="D583" s="584" t="s">
        <v>872</v>
      </c>
      <c r="E583" s="584" t="s">
        <v>1549</v>
      </c>
      <c r="F583" s="586" t="s">
        <v>100</v>
      </c>
    </row>
    <row r="584" spans="1:6" ht="15">
      <c r="A584" s="579" t="s">
        <v>1353</v>
      </c>
      <c r="B584" s="580" t="s">
        <v>1354</v>
      </c>
      <c r="C584" s="581">
        <v>0</v>
      </c>
      <c r="D584" s="580" t="s">
        <v>872</v>
      </c>
      <c r="E584" s="580" t="s">
        <v>1549</v>
      </c>
      <c r="F584" s="582" t="s">
        <v>100</v>
      </c>
    </row>
    <row r="585" spans="1:6" ht="15">
      <c r="A585" s="583" t="s">
        <v>1355</v>
      </c>
      <c r="B585" s="584" t="s">
        <v>1356</v>
      </c>
      <c r="C585" s="585">
        <v>0</v>
      </c>
      <c r="D585" s="584" t="s">
        <v>872</v>
      </c>
      <c r="E585" s="584" t="s">
        <v>1549</v>
      </c>
      <c r="F585" s="586" t="s">
        <v>100</v>
      </c>
    </row>
    <row r="586" spans="1:6" ht="15">
      <c r="A586" s="579" t="s">
        <v>1357</v>
      </c>
      <c r="B586" s="580" t="s">
        <v>1358</v>
      </c>
      <c r="C586" s="581">
        <v>42825</v>
      </c>
      <c r="D586" s="580" t="s">
        <v>872</v>
      </c>
      <c r="E586" s="580" t="s">
        <v>1549</v>
      </c>
      <c r="F586" s="582" t="s">
        <v>100</v>
      </c>
    </row>
    <row r="587" spans="1:6" ht="15">
      <c r="A587" s="583" t="s">
        <v>1359</v>
      </c>
      <c r="B587" s="584" t="s">
        <v>1360</v>
      </c>
      <c r="C587" s="585">
        <v>995603.83</v>
      </c>
      <c r="D587" s="584" t="s">
        <v>872</v>
      </c>
      <c r="E587" s="584" t="s">
        <v>1549</v>
      </c>
      <c r="F587" s="586" t="s">
        <v>100</v>
      </c>
    </row>
    <row r="588" spans="1:6" ht="15">
      <c r="A588" s="579" t="s">
        <v>1361</v>
      </c>
      <c r="B588" s="580" t="s">
        <v>1362</v>
      </c>
      <c r="C588" s="581">
        <v>1116922.56</v>
      </c>
      <c r="D588" s="580" t="s">
        <v>872</v>
      </c>
      <c r="E588" s="580" t="s">
        <v>1549</v>
      </c>
      <c r="F588" s="582" t="s">
        <v>100</v>
      </c>
    </row>
    <row r="589" spans="1:6" ht="15">
      <c r="A589" s="583" t="s">
        <v>1363</v>
      </c>
      <c r="B589" s="584" t="s">
        <v>1364</v>
      </c>
      <c r="C589" s="585">
        <v>0</v>
      </c>
      <c r="D589" s="584" t="s">
        <v>872</v>
      </c>
      <c r="E589" s="584" t="s">
        <v>1549</v>
      </c>
      <c r="F589" s="586" t="s">
        <v>100</v>
      </c>
    </row>
    <row r="590" spans="1:6" ht="15">
      <c r="A590" s="579" t="s">
        <v>1365</v>
      </c>
      <c r="B590" s="580" t="s">
        <v>1366</v>
      </c>
      <c r="C590" s="581">
        <v>2513434.85</v>
      </c>
      <c r="D590" s="580" t="s">
        <v>872</v>
      </c>
      <c r="E590" s="580" t="s">
        <v>1549</v>
      </c>
      <c r="F590" s="582" t="s">
        <v>100</v>
      </c>
    </row>
    <row r="591" spans="1:6" ht="15">
      <c r="A591" s="583" t="s">
        <v>1367</v>
      </c>
      <c r="B591" s="584" t="s">
        <v>495</v>
      </c>
      <c r="C591" s="585">
        <v>709548.51</v>
      </c>
      <c r="D591" s="584" t="s">
        <v>872</v>
      </c>
      <c r="E591" s="584" t="s">
        <v>1549</v>
      </c>
      <c r="F591" s="586" t="s">
        <v>100</v>
      </c>
    </row>
    <row r="592" spans="1:6" ht="15">
      <c r="A592" s="579" t="s">
        <v>1368</v>
      </c>
      <c r="B592" s="580" t="s">
        <v>1369</v>
      </c>
      <c r="C592" s="581">
        <v>718347.01</v>
      </c>
      <c r="D592" s="580" t="s">
        <v>872</v>
      </c>
      <c r="E592" s="580" t="s">
        <v>1549</v>
      </c>
      <c r="F592" s="582" t="s">
        <v>100</v>
      </c>
    </row>
    <row r="593" spans="1:6" ht="15">
      <c r="A593" s="583" t="s">
        <v>1370</v>
      </c>
      <c r="B593" s="584" t="s">
        <v>1301</v>
      </c>
      <c r="C593" s="585">
        <v>0</v>
      </c>
      <c r="D593" s="584" t="s">
        <v>872</v>
      </c>
      <c r="E593" s="584" t="s">
        <v>1549</v>
      </c>
      <c r="F593" s="586" t="s">
        <v>100</v>
      </c>
    </row>
    <row r="594" spans="1:6" ht="15">
      <c r="A594" s="579" t="s">
        <v>1371</v>
      </c>
      <c r="B594" s="580" t="s">
        <v>1372</v>
      </c>
      <c r="C594" s="581">
        <v>9275.66</v>
      </c>
      <c r="D594" s="580" t="s">
        <v>872</v>
      </c>
      <c r="E594" s="580" t="s">
        <v>1549</v>
      </c>
      <c r="F594" s="582" t="s">
        <v>100</v>
      </c>
    </row>
    <row r="595" spans="1:6" ht="15">
      <c r="A595" s="583" t="s">
        <v>1373</v>
      </c>
      <c r="B595" s="584" t="s">
        <v>1374</v>
      </c>
      <c r="C595" s="585">
        <v>10228210.189999999</v>
      </c>
      <c r="D595" s="584" t="s">
        <v>872</v>
      </c>
      <c r="E595" s="584" t="s">
        <v>1550</v>
      </c>
      <c r="F595" s="586" t="s">
        <v>1375</v>
      </c>
    </row>
    <row r="596" spans="1:6" ht="15">
      <c r="A596" s="579" t="s">
        <v>1376</v>
      </c>
      <c r="B596" s="580" t="s">
        <v>1377</v>
      </c>
      <c r="C596" s="581">
        <v>0</v>
      </c>
      <c r="D596" s="580" t="s">
        <v>872</v>
      </c>
      <c r="E596" s="580" t="s">
        <v>1548</v>
      </c>
      <c r="F596" s="582" t="s">
        <v>100</v>
      </c>
    </row>
    <row r="597" spans="1:6" ht="15">
      <c r="A597" s="583" t="s">
        <v>1378</v>
      </c>
      <c r="B597" s="584" t="s">
        <v>1379</v>
      </c>
      <c r="C597" s="585">
        <v>1916729.39</v>
      </c>
      <c r="D597" s="584" t="s">
        <v>872</v>
      </c>
      <c r="E597" s="584" t="s">
        <v>1549</v>
      </c>
      <c r="F597" s="586" t="s">
        <v>100</v>
      </c>
    </row>
    <row r="598" spans="1:6" ht="15">
      <c r="A598" s="579" t="s">
        <v>1380</v>
      </c>
      <c r="B598" s="580" t="s">
        <v>1381</v>
      </c>
      <c r="C598" s="581">
        <v>1916729.39</v>
      </c>
      <c r="D598" s="580" t="s">
        <v>872</v>
      </c>
      <c r="E598" s="580" t="s">
        <v>1550</v>
      </c>
      <c r="F598" s="582" t="s">
        <v>1382</v>
      </c>
    </row>
    <row r="599" spans="1:6" ht="15">
      <c r="A599" s="583" t="s">
        <v>1383</v>
      </c>
      <c r="B599" s="584" t="s">
        <v>1384</v>
      </c>
      <c r="C599" s="585">
        <v>0</v>
      </c>
      <c r="D599" s="584" t="s">
        <v>872</v>
      </c>
      <c r="E599" s="584" t="s">
        <v>1548</v>
      </c>
      <c r="F599" s="586" t="s">
        <v>100</v>
      </c>
    </row>
    <row r="600" spans="1:6" ht="15">
      <c r="A600" s="579" t="s">
        <v>1385</v>
      </c>
      <c r="B600" s="580" t="s">
        <v>1386</v>
      </c>
      <c r="C600" s="581">
        <v>53388.75</v>
      </c>
      <c r="D600" s="580" t="s">
        <v>872</v>
      </c>
      <c r="E600" s="580" t="s">
        <v>1549</v>
      </c>
      <c r="F600" s="582" t="s">
        <v>100</v>
      </c>
    </row>
    <row r="601" spans="1:6" ht="15">
      <c r="A601" s="583" t="s">
        <v>1387</v>
      </c>
      <c r="B601" s="584" t="s">
        <v>1388</v>
      </c>
      <c r="C601" s="585">
        <v>0</v>
      </c>
      <c r="D601" s="584" t="s">
        <v>872</v>
      </c>
      <c r="E601" s="584" t="s">
        <v>1549</v>
      </c>
      <c r="F601" s="586" t="s">
        <v>100</v>
      </c>
    </row>
    <row r="602" spans="1:6" ht="15">
      <c r="A602" s="579" t="s">
        <v>1389</v>
      </c>
      <c r="B602" s="580" t="s">
        <v>1390</v>
      </c>
      <c r="C602" s="581">
        <v>0</v>
      </c>
      <c r="D602" s="580" t="s">
        <v>872</v>
      </c>
      <c r="E602" s="580" t="s">
        <v>1549</v>
      </c>
      <c r="F602" s="582" t="s">
        <v>100</v>
      </c>
    </row>
    <row r="603" spans="1:6" ht="15">
      <c r="A603" s="583" t="s">
        <v>1391</v>
      </c>
      <c r="B603" s="584" t="s">
        <v>1392</v>
      </c>
      <c r="C603" s="585">
        <v>53388.75</v>
      </c>
      <c r="D603" s="584" t="s">
        <v>872</v>
      </c>
      <c r="E603" s="584" t="s">
        <v>1550</v>
      </c>
      <c r="F603" s="586" t="s">
        <v>1393</v>
      </c>
    </row>
    <row r="604" spans="1:6" ht="15">
      <c r="A604" s="579" t="s">
        <v>1394</v>
      </c>
      <c r="B604" s="580" t="s">
        <v>1152</v>
      </c>
      <c r="C604" s="581">
        <v>23607027.620000001</v>
      </c>
      <c r="D604" s="580" t="s">
        <v>872</v>
      </c>
      <c r="E604" s="580" t="s">
        <v>1550</v>
      </c>
      <c r="F604" s="582" t="s">
        <v>1395</v>
      </c>
    </row>
    <row r="605" spans="1:6" ht="15">
      <c r="A605" s="583" t="s">
        <v>1396</v>
      </c>
      <c r="B605" s="584" t="s">
        <v>1397</v>
      </c>
      <c r="C605" s="585">
        <v>532299.72</v>
      </c>
      <c r="D605" s="584" t="s">
        <v>872</v>
      </c>
      <c r="E605" s="584" t="s">
        <v>1550</v>
      </c>
      <c r="F605" s="586" t="s">
        <v>1398</v>
      </c>
    </row>
    <row r="606" spans="1:6" ht="15">
      <c r="A606" s="579" t="s">
        <v>1399</v>
      </c>
      <c r="B606" s="580" t="s">
        <v>1400</v>
      </c>
      <c r="C606" s="581">
        <v>0</v>
      </c>
      <c r="D606" s="580" t="s">
        <v>872</v>
      </c>
      <c r="E606" s="580" t="s">
        <v>1548</v>
      </c>
      <c r="F606" s="582" t="s">
        <v>100</v>
      </c>
    </row>
    <row r="607" spans="1:6" ht="15">
      <c r="A607" s="583" t="s">
        <v>1401</v>
      </c>
      <c r="B607" s="584" t="s">
        <v>1402</v>
      </c>
      <c r="C607" s="585">
        <v>0</v>
      </c>
      <c r="D607" s="584" t="s">
        <v>872</v>
      </c>
      <c r="E607" s="584" t="s">
        <v>1549</v>
      </c>
      <c r="F607" s="586" t="s">
        <v>100</v>
      </c>
    </row>
    <row r="608" spans="1:6" ht="15">
      <c r="A608" s="579" t="s">
        <v>1403</v>
      </c>
      <c r="B608" s="580" t="s">
        <v>1404</v>
      </c>
      <c r="C608" s="581">
        <v>0</v>
      </c>
      <c r="D608" s="580" t="s">
        <v>872</v>
      </c>
      <c r="E608" s="580" t="s">
        <v>1549</v>
      </c>
      <c r="F608" s="582" t="s">
        <v>100</v>
      </c>
    </row>
    <row r="609" spans="1:6" ht="15">
      <c r="A609" s="583" t="s">
        <v>1405</v>
      </c>
      <c r="B609" s="584" t="s">
        <v>1406</v>
      </c>
      <c r="C609" s="585">
        <v>-40591.870000000003</v>
      </c>
      <c r="D609" s="584" t="s">
        <v>872</v>
      </c>
      <c r="E609" s="584" t="s">
        <v>1549</v>
      </c>
      <c r="F609" s="586" t="s">
        <v>100</v>
      </c>
    </row>
    <row r="610" spans="1:6" ht="15">
      <c r="A610" s="579" t="s">
        <v>1407</v>
      </c>
      <c r="B610" s="580" t="s">
        <v>1408</v>
      </c>
      <c r="C610" s="581">
        <v>-40591.870000000003</v>
      </c>
      <c r="D610" s="580" t="s">
        <v>872</v>
      </c>
      <c r="E610" s="580" t="s">
        <v>1550</v>
      </c>
      <c r="F610" s="582" t="s">
        <v>1409</v>
      </c>
    </row>
    <row r="611" spans="1:6" ht="15">
      <c r="A611" s="583" t="s">
        <v>1410</v>
      </c>
      <c r="B611" s="584" t="s">
        <v>1411</v>
      </c>
      <c r="C611" s="585">
        <v>0</v>
      </c>
      <c r="D611" s="584" t="s">
        <v>872</v>
      </c>
      <c r="E611" s="584" t="s">
        <v>1548</v>
      </c>
      <c r="F611" s="586" t="s">
        <v>100</v>
      </c>
    </row>
    <row r="612" spans="1:6" ht="15">
      <c r="A612" s="579" t="s">
        <v>1412</v>
      </c>
      <c r="B612" s="580" t="s">
        <v>1413</v>
      </c>
      <c r="C612" s="581">
        <v>0</v>
      </c>
      <c r="D612" s="580" t="s">
        <v>872</v>
      </c>
      <c r="E612" s="580" t="s">
        <v>1549</v>
      </c>
      <c r="F612" s="582" t="s">
        <v>100</v>
      </c>
    </row>
    <row r="613" spans="1:6" ht="15">
      <c r="A613" s="583" t="s">
        <v>1414</v>
      </c>
      <c r="B613" s="584" t="s">
        <v>1415</v>
      </c>
      <c r="C613" s="585">
        <v>-3517.18</v>
      </c>
      <c r="D613" s="584" t="s">
        <v>872</v>
      </c>
      <c r="E613" s="584" t="s">
        <v>1549</v>
      </c>
      <c r="F613" s="586" t="s">
        <v>100</v>
      </c>
    </row>
    <row r="614" spans="1:6" ht="15">
      <c r="A614" s="579" t="s">
        <v>1416</v>
      </c>
      <c r="B614" s="580" t="s">
        <v>1417</v>
      </c>
      <c r="C614" s="581">
        <v>0.62</v>
      </c>
      <c r="D614" s="580" t="s">
        <v>872</v>
      </c>
      <c r="E614" s="580" t="s">
        <v>1549</v>
      </c>
      <c r="F614" s="582" t="s">
        <v>100</v>
      </c>
    </row>
    <row r="615" spans="1:6" ht="15">
      <c r="A615" s="583" t="s">
        <v>1418</v>
      </c>
      <c r="B615" s="584" t="s">
        <v>515</v>
      </c>
      <c r="C615" s="585">
        <v>-564069.91</v>
      </c>
      <c r="D615" s="584" t="s">
        <v>872</v>
      </c>
      <c r="E615" s="584" t="s">
        <v>1549</v>
      </c>
      <c r="F615" s="586" t="s">
        <v>100</v>
      </c>
    </row>
    <row r="616" spans="1:6" ht="15">
      <c r="A616" s="579" t="s">
        <v>1629</v>
      </c>
      <c r="B616" s="580" t="s">
        <v>1630</v>
      </c>
      <c r="C616" s="581">
        <v>-1213989.02</v>
      </c>
      <c r="D616" s="580" t="s">
        <v>872</v>
      </c>
      <c r="E616" s="580" t="s">
        <v>1549</v>
      </c>
      <c r="F616" s="582" t="s">
        <v>100</v>
      </c>
    </row>
    <row r="617" spans="1:6" ht="15">
      <c r="A617" s="583" t="s">
        <v>1631</v>
      </c>
      <c r="B617" s="584" t="s">
        <v>1632</v>
      </c>
      <c r="C617" s="585">
        <v>0</v>
      </c>
      <c r="D617" s="584" t="s">
        <v>872</v>
      </c>
      <c r="E617" s="584" t="s">
        <v>1549</v>
      </c>
      <c r="F617" s="586" t="s">
        <v>100</v>
      </c>
    </row>
    <row r="618" spans="1:6" ht="15">
      <c r="A618" s="579" t="s">
        <v>1419</v>
      </c>
      <c r="B618" s="580" t="s">
        <v>1420</v>
      </c>
      <c r="C618" s="581">
        <v>-1781575.49</v>
      </c>
      <c r="D618" s="580" t="s">
        <v>872</v>
      </c>
      <c r="E618" s="580" t="s">
        <v>1550</v>
      </c>
      <c r="F618" s="582" t="s">
        <v>1421</v>
      </c>
    </row>
    <row r="619" spans="1:6" ht="15">
      <c r="A619" s="583" t="s">
        <v>1422</v>
      </c>
      <c r="B619" s="584" t="s">
        <v>1423</v>
      </c>
      <c r="C619" s="585">
        <v>0</v>
      </c>
      <c r="D619" s="584" t="s">
        <v>872</v>
      </c>
      <c r="E619" s="584" t="s">
        <v>1548</v>
      </c>
      <c r="F619" s="586" t="s">
        <v>100</v>
      </c>
    </row>
    <row r="620" spans="1:6" ht="15">
      <c r="A620" s="579" t="s">
        <v>1424</v>
      </c>
      <c r="B620" s="580" t="s">
        <v>1425</v>
      </c>
      <c r="C620" s="581">
        <v>10180.44</v>
      </c>
      <c r="D620" s="580" t="s">
        <v>872</v>
      </c>
      <c r="E620" s="580" t="s">
        <v>1549</v>
      </c>
      <c r="F620" s="582" t="s">
        <v>100</v>
      </c>
    </row>
    <row r="621" spans="1:6" ht="15">
      <c r="A621" s="583" t="s">
        <v>1426</v>
      </c>
      <c r="B621" s="584" t="s">
        <v>1427</v>
      </c>
      <c r="C621" s="585">
        <v>0</v>
      </c>
      <c r="D621" s="584" t="s">
        <v>872</v>
      </c>
      <c r="E621" s="584" t="s">
        <v>1549</v>
      </c>
      <c r="F621" s="586" t="s">
        <v>100</v>
      </c>
    </row>
    <row r="622" spans="1:6" ht="15">
      <c r="A622" s="579" t="s">
        <v>1428</v>
      </c>
      <c r="B622" s="580" t="s">
        <v>1429</v>
      </c>
      <c r="C622" s="581">
        <v>-23223</v>
      </c>
      <c r="D622" s="580" t="s">
        <v>872</v>
      </c>
      <c r="E622" s="580" t="s">
        <v>1549</v>
      </c>
      <c r="F622" s="582" t="s">
        <v>100</v>
      </c>
    </row>
    <row r="623" spans="1:6" ht="15">
      <c r="A623" s="583" t="s">
        <v>1430</v>
      </c>
      <c r="B623" s="584" t="s">
        <v>1633</v>
      </c>
      <c r="C623" s="585">
        <v>-18735.09</v>
      </c>
      <c r="D623" s="584" t="s">
        <v>872</v>
      </c>
      <c r="E623" s="584" t="s">
        <v>1549</v>
      </c>
      <c r="F623" s="586" t="s">
        <v>100</v>
      </c>
    </row>
    <row r="624" spans="1:6" ht="15">
      <c r="A624" s="579" t="s">
        <v>1432</v>
      </c>
      <c r="B624" s="580" t="s">
        <v>1433</v>
      </c>
      <c r="C624" s="581">
        <v>144202.76</v>
      </c>
      <c r="D624" s="580" t="s">
        <v>156</v>
      </c>
      <c r="E624" s="580" t="s">
        <v>1549</v>
      </c>
      <c r="F624" s="582" t="s">
        <v>100</v>
      </c>
    </row>
    <row r="625" spans="1:6" ht="15">
      <c r="A625" s="583" t="s">
        <v>1434</v>
      </c>
      <c r="B625" s="584" t="s">
        <v>1435</v>
      </c>
      <c r="C625" s="585">
        <v>-144202.76</v>
      </c>
      <c r="D625" s="584" t="s">
        <v>156</v>
      </c>
      <c r="E625" s="584" t="s">
        <v>1549</v>
      </c>
      <c r="F625" s="586" t="s">
        <v>100</v>
      </c>
    </row>
    <row r="626" spans="1:6" ht="15">
      <c r="A626" s="579" t="s">
        <v>1436</v>
      </c>
      <c r="B626" s="580" t="s">
        <v>1437</v>
      </c>
      <c r="C626" s="581">
        <v>0</v>
      </c>
      <c r="D626" s="580" t="s">
        <v>872</v>
      </c>
      <c r="E626" s="580" t="s">
        <v>1549</v>
      </c>
      <c r="F626" s="582" t="s">
        <v>100</v>
      </c>
    </row>
    <row r="627" spans="1:6" ht="15">
      <c r="A627" s="583" t="s">
        <v>1438</v>
      </c>
      <c r="B627" s="584" t="s">
        <v>1439</v>
      </c>
      <c r="C627" s="585">
        <v>-31777.65</v>
      </c>
      <c r="D627" s="584" t="s">
        <v>872</v>
      </c>
      <c r="E627" s="584" t="s">
        <v>1550</v>
      </c>
      <c r="F627" s="586" t="s">
        <v>1440</v>
      </c>
    </row>
    <row r="628" spans="1:6" ht="15">
      <c r="A628" s="579" t="s">
        <v>1441</v>
      </c>
      <c r="B628" s="580" t="s">
        <v>1442</v>
      </c>
      <c r="C628" s="581">
        <v>-3283239.56</v>
      </c>
      <c r="D628" s="580" t="s">
        <v>872</v>
      </c>
      <c r="E628" s="580" t="s">
        <v>1550</v>
      </c>
      <c r="F628" s="582" t="s">
        <v>1443</v>
      </c>
    </row>
    <row r="629" spans="1:6" ht="15">
      <c r="A629" s="583" t="s">
        <v>1444</v>
      </c>
      <c r="B629" s="584" t="s">
        <v>1445</v>
      </c>
      <c r="C629" s="585">
        <v>-68291691.150000006</v>
      </c>
      <c r="D629" s="584" t="s">
        <v>872</v>
      </c>
      <c r="E629" s="584" t="s">
        <v>1550</v>
      </c>
      <c r="F629" s="586" t="s">
        <v>1446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102C7-5BB5-4BFF-8302-481EDDE5A537}">
  <dimension ref="A2:T629"/>
  <sheetViews>
    <sheetView topLeftCell="A580" workbookViewId="0">
      <selection activeCell="C605" sqref="C605"/>
    </sheetView>
  </sheetViews>
  <sheetFormatPr baseColWidth="10" defaultColWidth="8.83203125" defaultRowHeight="14"/>
  <cols>
    <col min="1" max="1" width="6" bestFit="1" customWidth="1"/>
    <col min="2" max="2" width="32.5" bestFit="1" customWidth="1"/>
    <col min="3" max="3" width="11.5" bestFit="1" customWidth="1"/>
    <col min="4" max="4" width="7" customWidth="1"/>
    <col min="5" max="5" width="15" bestFit="1" customWidth="1"/>
    <col min="7" max="7" width="8.33203125" bestFit="1" customWidth="1"/>
    <col min="8" max="8" width="12.33203125" bestFit="1" customWidth="1"/>
    <col min="11" max="11" width="6.83203125" bestFit="1" customWidth="1"/>
    <col min="12" max="12" width="27.5" bestFit="1" customWidth="1"/>
    <col min="13" max="13" width="12" bestFit="1" customWidth="1"/>
    <col min="14" max="14" width="12.5" bestFit="1" customWidth="1"/>
    <col min="15" max="15" width="12" bestFit="1" customWidth="1"/>
    <col min="16" max="16" width="11.5" bestFit="1" customWidth="1"/>
    <col min="17" max="17" width="9.83203125" bestFit="1" customWidth="1"/>
    <col min="18" max="18" width="16" bestFit="1" customWidth="1"/>
    <col min="19" max="19" width="8.83203125" bestFit="1" customWidth="1"/>
    <col min="20" max="20" width="12.5" bestFit="1" customWidth="1"/>
  </cols>
  <sheetData>
    <row r="2" spans="1:8">
      <c r="C2" s="10">
        <v>44834</v>
      </c>
    </row>
    <row r="3" spans="1:8" ht="15">
      <c r="A3" s="579" t="s">
        <v>154</v>
      </c>
      <c r="B3" s="580" t="s">
        <v>155</v>
      </c>
      <c r="C3" s="581">
        <v>0</v>
      </c>
      <c r="D3" s="581">
        <v>0</v>
      </c>
      <c r="E3" s="580" t="s">
        <v>156</v>
      </c>
      <c r="F3" s="580" t="s">
        <v>100</v>
      </c>
      <c r="G3" s="580" t="s">
        <v>1548</v>
      </c>
      <c r="H3" s="582" t="s">
        <v>100</v>
      </c>
    </row>
    <row r="4" spans="1:8" ht="15">
      <c r="A4" s="583" t="s">
        <v>158</v>
      </c>
      <c r="B4" s="584" t="s">
        <v>159</v>
      </c>
      <c r="C4" s="585">
        <v>0</v>
      </c>
      <c r="D4" s="585">
        <v>0</v>
      </c>
      <c r="E4" s="584" t="s">
        <v>156</v>
      </c>
      <c r="F4" s="584" t="s">
        <v>100</v>
      </c>
      <c r="G4" s="584" t="s">
        <v>1548</v>
      </c>
      <c r="H4" s="586" t="s">
        <v>100</v>
      </c>
    </row>
    <row r="5" spans="1:8" ht="15">
      <c r="A5" s="579" t="s">
        <v>160</v>
      </c>
      <c r="B5" s="580" t="s">
        <v>161</v>
      </c>
      <c r="C5" s="581">
        <v>-6021875</v>
      </c>
      <c r="D5" s="581">
        <v>-6021875</v>
      </c>
      <c r="E5" s="580" t="s">
        <v>156</v>
      </c>
      <c r="F5" s="580" t="s">
        <v>100</v>
      </c>
      <c r="G5" s="580" t="s">
        <v>1549</v>
      </c>
      <c r="H5" s="582" t="s">
        <v>100</v>
      </c>
    </row>
    <row r="6" spans="1:8" ht="15">
      <c r="A6" s="583" t="s">
        <v>163</v>
      </c>
      <c r="B6" s="584" t="s">
        <v>164</v>
      </c>
      <c r="C6" s="585">
        <v>0</v>
      </c>
      <c r="D6" s="585">
        <v>0</v>
      </c>
      <c r="E6" s="584" t="s">
        <v>156</v>
      </c>
      <c r="F6" s="584" t="s">
        <v>100</v>
      </c>
      <c r="G6" s="584" t="s">
        <v>1549</v>
      </c>
      <c r="H6" s="586" t="s">
        <v>100</v>
      </c>
    </row>
    <row r="7" spans="1:8" ht="15">
      <c r="A7" s="579" t="s">
        <v>165</v>
      </c>
      <c r="B7" s="580" t="s">
        <v>166</v>
      </c>
      <c r="C7" s="581">
        <v>-24498.9</v>
      </c>
      <c r="D7" s="581">
        <v>-24498.9</v>
      </c>
      <c r="E7" s="580" t="s">
        <v>156</v>
      </c>
      <c r="F7" s="580" t="s">
        <v>100</v>
      </c>
      <c r="G7" s="580" t="s">
        <v>1549</v>
      </c>
      <c r="H7" s="582" t="s">
        <v>100</v>
      </c>
    </row>
    <row r="8" spans="1:8" ht="15">
      <c r="A8" s="583" t="s">
        <v>167</v>
      </c>
      <c r="B8" s="584" t="s">
        <v>168</v>
      </c>
      <c r="C8" s="585">
        <v>-6046373.9000000004</v>
      </c>
      <c r="D8" s="585">
        <v>-6046373.9000000004</v>
      </c>
      <c r="E8" s="584" t="s">
        <v>156</v>
      </c>
      <c r="F8" s="584" t="s">
        <v>100</v>
      </c>
      <c r="G8" s="584" t="s">
        <v>1550</v>
      </c>
      <c r="H8" s="586" t="s">
        <v>170</v>
      </c>
    </row>
    <row r="9" spans="1:8" ht="15">
      <c r="A9" s="579" t="s">
        <v>171</v>
      </c>
      <c r="B9" s="580" t="s">
        <v>172</v>
      </c>
      <c r="C9" s="581">
        <v>0</v>
      </c>
      <c r="D9" s="581">
        <v>0</v>
      </c>
      <c r="E9" s="580" t="s">
        <v>156</v>
      </c>
      <c r="F9" s="580" t="s">
        <v>100</v>
      </c>
      <c r="G9" s="580" t="s">
        <v>1548</v>
      </c>
      <c r="H9" s="582" t="s">
        <v>100</v>
      </c>
    </row>
    <row r="10" spans="1:8" ht="15">
      <c r="A10" s="583" t="s">
        <v>173</v>
      </c>
      <c r="B10" s="584" t="s">
        <v>174</v>
      </c>
      <c r="C10" s="585">
        <v>0</v>
      </c>
      <c r="D10" s="585">
        <v>-7726156</v>
      </c>
      <c r="E10" s="584" t="s">
        <v>156</v>
      </c>
      <c r="F10" s="584" t="s">
        <v>100</v>
      </c>
      <c r="G10" s="584" t="s">
        <v>1549</v>
      </c>
      <c r="H10" s="586" t="s">
        <v>100</v>
      </c>
    </row>
    <row r="11" spans="1:8" ht="15">
      <c r="A11" s="579" t="s">
        <v>175</v>
      </c>
      <c r="B11" s="580" t="s">
        <v>176</v>
      </c>
      <c r="C11" s="581">
        <v>0</v>
      </c>
      <c r="D11" s="581">
        <v>0</v>
      </c>
      <c r="E11" s="580" t="s">
        <v>156</v>
      </c>
      <c r="F11" s="580" t="s">
        <v>100</v>
      </c>
      <c r="G11" s="580" t="s">
        <v>1549</v>
      </c>
      <c r="H11" s="582" t="s">
        <v>100</v>
      </c>
    </row>
    <row r="12" spans="1:8" ht="15">
      <c r="A12" s="583" t="s">
        <v>177</v>
      </c>
      <c r="B12" s="584" t="s">
        <v>178</v>
      </c>
      <c r="C12" s="585">
        <v>-201812.18</v>
      </c>
      <c r="D12" s="585">
        <v>-221910.3</v>
      </c>
      <c r="E12" s="584" t="s">
        <v>156</v>
      </c>
      <c r="F12" s="584" t="s">
        <v>100</v>
      </c>
      <c r="G12" s="584" t="s">
        <v>1549</v>
      </c>
      <c r="H12" s="586" t="s">
        <v>100</v>
      </c>
    </row>
    <row r="13" spans="1:8" ht="15">
      <c r="A13" s="579" t="s">
        <v>179</v>
      </c>
      <c r="B13" s="580" t="s">
        <v>180</v>
      </c>
      <c r="C13" s="581">
        <v>181572</v>
      </c>
      <c r="D13" s="581">
        <v>201170</v>
      </c>
      <c r="E13" s="580" t="s">
        <v>156</v>
      </c>
      <c r="F13" s="580" t="s">
        <v>100</v>
      </c>
      <c r="G13" s="580" t="s">
        <v>1549</v>
      </c>
      <c r="H13" s="582" t="s">
        <v>100</v>
      </c>
    </row>
    <row r="14" spans="1:8" ht="15">
      <c r="A14" s="583" t="s">
        <v>181</v>
      </c>
      <c r="B14" s="584" t="s">
        <v>182</v>
      </c>
      <c r="C14" s="585">
        <v>0</v>
      </c>
      <c r="D14" s="585">
        <v>0</v>
      </c>
      <c r="E14" s="584" t="s">
        <v>156</v>
      </c>
      <c r="F14" s="584" t="s">
        <v>100</v>
      </c>
      <c r="G14" s="584" t="s">
        <v>1549</v>
      </c>
      <c r="H14" s="586" t="s">
        <v>100</v>
      </c>
    </row>
    <row r="15" spans="1:8" ht="15">
      <c r="A15" s="579" t="s">
        <v>183</v>
      </c>
      <c r="B15" s="580" t="s">
        <v>184</v>
      </c>
      <c r="C15" s="581">
        <v>0</v>
      </c>
      <c r="D15" s="581">
        <v>0</v>
      </c>
      <c r="E15" s="580" t="s">
        <v>156</v>
      </c>
      <c r="F15" s="580" t="s">
        <v>100</v>
      </c>
      <c r="G15" s="580" t="s">
        <v>1549</v>
      </c>
      <c r="H15" s="582" t="s">
        <v>100</v>
      </c>
    </row>
    <row r="16" spans="1:8" ht="15">
      <c r="A16" s="583" t="s">
        <v>1551</v>
      </c>
      <c r="B16" s="584" t="s">
        <v>1552</v>
      </c>
      <c r="C16" s="585">
        <v>0</v>
      </c>
      <c r="D16" s="585">
        <v>0</v>
      </c>
      <c r="E16" s="584" t="s">
        <v>156</v>
      </c>
      <c r="F16" s="584" t="s">
        <v>100</v>
      </c>
      <c r="G16" s="584" t="s">
        <v>1549</v>
      </c>
      <c r="H16" s="586" t="s">
        <v>100</v>
      </c>
    </row>
    <row r="17" spans="1:8" ht="15">
      <c r="A17" s="579" t="s">
        <v>1553</v>
      </c>
      <c r="B17" s="580" t="s">
        <v>1554</v>
      </c>
      <c r="C17" s="581">
        <v>0</v>
      </c>
      <c r="D17" s="581">
        <v>0</v>
      </c>
      <c r="E17" s="580" t="s">
        <v>156</v>
      </c>
      <c r="F17" s="580" t="s">
        <v>100</v>
      </c>
      <c r="G17" s="580" t="s">
        <v>1549</v>
      </c>
      <c r="H17" s="582" t="s">
        <v>100</v>
      </c>
    </row>
    <row r="18" spans="1:8" ht="15">
      <c r="A18" s="583" t="s">
        <v>185</v>
      </c>
      <c r="B18" s="584" t="s">
        <v>186</v>
      </c>
      <c r="C18" s="585">
        <v>-20240.18</v>
      </c>
      <c r="D18" s="585">
        <v>-7746896.2999999998</v>
      </c>
      <c r="E18" s="584" t="s">
        <v>156</v>
      </c>
      <c r="F18" s="584" t="s">
        <v>100</v>
      </c>
      <c r="G18" s="584" t="s">
        <v>1550</v>
      </c>
      <c r="H18" s="586" t="s">
        <v>187</v>
      </c>
    </row>
    <row r="19" spans="1:8" ht="15">
      <c r="A19" s="579" t="s">
        <v>188</v>
      </c>
      <c r="B19" s="580" t="s">
        <v>189</v>
      </c>
      <c r="C19" s="581">
        <v>0</v>
      </c>
      <c r="D19" s="581">
        <v>0</v>
      </c>
      <c r="E19" s="580" t="s">
        <v>156</v>
      </c>
      <c r="F19" s="580" t="s">
        <v>100</v>
      </c>
      <c r="G19" s="580" t="s">
        <v>1548</v>
      </c>
      <c r="H19" s="582" t="s">
        <v>100</v>
      </c>
    </row>
    <row r="20" spans="1:8" ht="15">
      <c r="A20" s="583" t="s">
        <v>190</v>
      </c>
      <c r="B20" s="584" t="s">
        <v>191</v>
      </c>
      <c r="C20" s="585">
        <v>0</v>
      </c>
      <c r="D20" s="585">
        <v>0</v>
      </c>
      <c r="E20" s="584" t="s">
        <v>156</v>
      </c>
      <c r="F20" s="584" t="s">
        <v>100</v>
      </c>
      <c r="G20" s="584" t="s">
        <v>1548</v>
      </c>
      <c r="H20" s="586" t="s">
        <v>100</v>
      </c>
    </row>
    <row r="21" spans="1:8" ht="15">
      <c r="A21" s="579" t="s">
        <v>192</v>
      </c>
      <c r="B21" s="580" t="s">
        <v>193</v>
      </c>
      <c r="C21" s="581">
        <v>0</v>
      </c>
      <c r="D21" s="581">
        <v>0</v>
      </c>
      <c r="E21" s="580" t="s">
        <v>156</v>
      </c>
      <c r="F21" s="580" t="s">
        <v>100</v>
      </c>
      <c r="G21" s="580" t="s">
        <v>1549</v>
      </c>
      <c r="H21" s="582" t="s">
        <v>100</v>
      </c>
    </row>
    <row r="22" spans="1:8" ht="15">
      <c r="A22" s="583" t="s">
        <v>194</v>
      </c>
      <c r="B22" s="584" t="s">
        <v>195</v>
      </c>
      <c r="C22" s="585">
        <v>0</v>
      </c>
      <c r="D22" s="585">
        <v>0</v>
      </c>
      <c r="E22" s="584" t="s">
        <v>156</v>
      </c>
      <c r="F22" s="584" t="s">
        <v>100</v>
      </c>
      <c r="G22" s="584" t="s">
        <v>1550</v>
      </c>
      <c r="H22" s="586" t="s">
        <v>196</v>
      </c>
    </row>
    <row r="23" spans="1:8" ht="15">
      <c r="A23" s="579" t="s">
        <v>197</v>
      </c>
      <c r="B23" s="580" t="s">
        <v>198</v>
      </c>
      <c r="C23" s="581">
        <v>0</v>
      </c>
      <c r="D23" s="581">
        <v>0</v>
      </c>
      <c r="E23" s="580" t="s">
        <v>156</v>
      </c>
      <c r="F23" s="580" t="s">
        <v>100</v>
      </c>
      <c r="G23" s="580" t="s">
        <v>1548</v>
      </c>
      <c r="H23" s="582" t="s">
        <v>100</v>
      </c>
    </row>
    <row r="24" spans="1:8" ht="15">
      <c r="A24" s="583" t="s">
        <v>199</v>
      </c>
      <c r="B24" s="584" t="s">
        <v>200</v>
      </c>
      <c r="C24" s="585">
        <v>-872349.13</v>
      </c>
      <c r="D24" s="585">
        <v>-930665.15</v>
      </c>
      <c r="E24" s="584" t="s">
        <v>156</v>
      </c>
      <c r="F24" s="584" t="s">
        <v>100</v>
      </c>
      <c r="G24" s="584" t="s">
        <v>1549</v>
      </c>
      <c r="H24" s="586" t="s">
        <v>100</v>
      </c>
    </row>
    <row r="25" spans="1:8" ht="15">
      <c r="A25" s="579" t="s">
        <v>201</v>
      </c>
      <c r="B25" s="580" t="s">
        <v>202</v>
      </c>
      <c r="C25" s="581">
        <v>-25388.799999999999</v>
      </c>
      <c r="D25" s="581">
        <v>-26751.13</v>
      </c>
      <c r="E25" s="580" t="s">
        <v>156</v>
      </c>
      <c r="F25" s="580" t="s">
        <v>100</v>
      </c>
      <c r="G25" s="580" t="s">
        <v>1549</v>
      </c>
      <c r="H25" s="582" t="s">
        <v>100</v>
      </c>
    </row>
    <row r="26" spans="1:8" ht="15">
      <c r="A26" s="583" t="s">
        <v>203</v>
      </c>
      <c r="B26" s="584" t="s">
        <v>204</v>
      </c>
      <c r="C26" s="585">
        <v>26553.26</v>
      </c>
      <c r="D26" s="585">
        <v>33044.620000000003</v>
      </c>
      <c r="E26" s="584" t="s">
        <v>156</v>
      </c>
      <c r="F26" s="584" t="s">
        <v>100</v>
      </c>
      <c r="G26" s="584" t="s">
        <v>1549</v>
      </c>
      <c r="H26" s="586" t="s">
        <v>100</v>
      </c>
    </row>
    <row r="27" spans="1:8" ht="15">
      <c r="A27" s="579" t="s">
        <v>205</v>
      </c>
      <c r="B27" s="580" t="s">
        <v>206</v>
      </c>
      <c r="C27" s="581">
        <v>1440.8</v>
      </c>
      <c r="D27" s="581">
        <v>3442.4</v>
      </c>
      <c r="E27" s="580" t="s">
        <v>156</v>
      </c>
      <c r="F27" s="580" t="s">
        <v>100</v>
      </c>
      <c r="G27" s="580" t="s">
        <v>1549</v>
      </c>
      <c r="H27" s="582" t="s">
        <v>100</v>
      </c>
    </row>
    <row r="28" spans="1:8" ht="15">
      <c r="A28" s="583" t="s">
        <v>207</v>
      </c>
      <c r="B28" s="584" t="s">
        <v>208</v>
      </c>
      <c r="C28" s="585">
        <v>207243.81</v>
      </c>
      <c r="D28" s="585">
        <v>211543.76</v>
      </c>
      <c r="E28" s="584" t="s">
        <v>156</v>
      </c>
      <c r="F28" s="584" t="s">
        <v>100</v>
      </c>
      <c r="G28" s="584" t="s">
        <v>1549</v>
      </c>
      <c r="H28" s="586" t="s">
        <v>100</v>
      </c>
    </row>
    <row r="29" spans="1:8" ht="15">
      <c r="A29" s="579" t="s">
        <v>209</v>
      </c>
      <c r="B29" s="580" t="s">
        <v>210</v>
      </c>
      <c r="C29" s="581">
        <v>256343.45</v>
      </c>
      <c r="D29" s="581">
        <v>266665.34999999998</v>
      </c>
      <c r="E29" s="580" t="s">
        <v>156</v>
      </c>
      <c r="F29" s="580" t="s">
        <v>100</v>
      </c>
      <c r="G29" s="580" t="s">
        <v>1549</v>
      </c>
      <c r="H29" s="582" t="s">
        <v>100</v>
      </c>
    </row>
    <row r="30" spans="1:8" ht="15">
      <c r="A30" s="583" t="s">
        <v>211</v>
      </c>
      <c r="B30" s="584" t="s">
        <v>212</v>
      </c>
      <c r="C30" s="585">
        <v>0</v>
      </c>
      <c r="D30" s="585">
        <v>0</v>
      </c>
      <c r="E30" s="584" t="s">
        <v>156</v>
      </c>
      <c r="F30" s="584" t="s">
        <v>100</v>
      </c>
      <c r="G30" s="584" t="s">
        <v>1549</v>
      </c>
      <c r="H30" s="586" t="s">
        <v>100</v>
      </c>
    </row>
    <row r="31" spans="1:8" ht="15">
      <c r="A31" s="579" t="s">
        <v>213</v>
      </c>
      <c r="B31" s="580" t="s">
        <v>214</v>
      </c>
      <c r="C31" s="581">
        <v>4810.8599999999997</v>
      </c>
      <c r="D31" s="581">
        <v>4810.8599999999997</v>
      </c>
      <c r="E31" s="580" t="s">
        <v>156</v>
      </c>
      <c r="F31" s="580" t="s">
        <v>100</v>
      </c>
      <c r="G31" s="580" t="s">
        <v>1549</v>
      </c>
      <c r="H31" s="582" t="s">
        <v>100</v>
      </c>
    </row>
    <row r="32" spans="1:8" ht="15">
      <c r="A32" s="583" t="s">
        <v>215</v>
      </c>
      <c r="B32" s="584" t="s">
        <v>216</v>
      </c>
      <c r="C32" s="585">
        <v>0</v>
      </c>
      <c r="D32" s="585">
        <v>3500</v>
      </c>
      <c r="E32" s="584" t="s">
        <v>156</v>
      </c>
      <c r="F32" s="584" t="s">
        <v>100</v>
      </c>
      <c r="G32" s="584" t="s">
        <v>1549</v>
      </c>
      <c r="H32" s="586" t="s">
        <v>100</v>
      </c>
    </row>
    <row r="33" spans="1:8" ht="15">
      <c r="A33" s="579" t="s">
        <v>217</v>
      </c>
      <c r="B33" s="580" t="s">
        <v>218</v>
      </c>
      <c r="C33" s="581">
        <v>0</v>
      </c>
      <c r="D33" s="581">
        <v>640.25</v>
      </c>
      <c r="E33" s="580" t="s">
        <v>156</v>
      </c>
      <c r="F33" s="580" t="s">
        <v>100</v>
      </c>
      <c r="G33" s="580" t="s">
        <v>1549</v>
      </c>
      <c r="H33" s="582" t="s">
        <v>100</v>
      </c>
    </row>
    <row r="34" spans="1:8" ht="15">
      <c r="A34" s="583" t="s">
        <v>219</v>
      </c>
      <c r="B34" s="584" t="s">
        <v>220</v>
      </c>
      <c r="C34" s="585">
        <v>15895.51</v>
      </c>
      <c r="D34" s="585">
        <v>15895.51</v>
      </c>
      <c r="E34" s="584" t="s">
        <v>156</v>
      </c>
      <c r="F34" s="584" t="s">
        <v>100</v>
      </c>
      <c r="G34" s="584" t="s">
        <v>1549</v>
      </c>
      <c r="H34" s="586" t="s">
        <v>100</v>
      </c>
    </row>
    <row r="35" spans="1:8" ht="15">
      <c r="A35" s="579" t="s">
        <v>221</v>
      </c>
      <c r="B35" s="580" t="s">
        <v>222</v>
      </c>
      <c r="C35" s="581">
        <v>-385450.23999999999</v>
      </c>
      <c r="D35" s="581">
        <v>-417873.53</v>
      </c>
      <c r="E35" s="580" t="s">
        <v>156</v>
      </c>
      <c r="F35" s="580" t="s">
        <v>100</v>
      </c>
      <c r="G35" s="580" t="s">
        <v>1550</v>
      </c>
      <c r="H35" s="582" t="s">
        <v>223</v>
      </c>
    </row>
    <row r="36" spans="1:8" ht="15">
      <c r="A36" s="583" t="s">
        <v>224</v>
      </c>
      <c r="B36" s="584" t="s">
        <v>225</v>
      </c>
      <c r="C36" s="585">
        <v>0</v>
      </c>
      <c r="D36" s="585">
        <v>0</v>
      </c>
      <c r="E36" s="584" t="s">
        <v>156</v>
      </c>
      <c r="F36" s="584" t="s">
        <v>100</v>
      </c>
      <c r="G36" s="584" t="s">
        <v>1548</v>
      </c>
      <c r="H36" s="586" t="s">
        <v>100</v>
      </c>
    </row>
    <row r="37" spans="1:8" ht="15">
      <c r="A37" s="579" t="s">
        <v>226</v>
      </c>
      <c r="B37" s="580" t="s">
        <v>227</v>
      </c>
      <c r="C37" s="581">
        <v>0</v>
      </c>
      <c r="D37" s="581">
        <v>0</v>
      </c>
      <c r="E37" s="580" t="s">
        <v>156</v>
      </c>
      <c r="F37" s="580" t="s">
        <v>100</v>
      </c>
      <c r="G37" s="580" t="s">
        <v>1549</v>
      </c>
      <c r="H37" s="582" t="s">
        <v>100</v>
      </c>
    </row>
    <row r="38" spans="1:8" ht="15">
      <c r="A38" s="583" t="s">
        <v>228</v>
      </c>
      <c r="B38" s="584" t="s">
        <v>229</v>
      </c>
      <c r="C38" s="585">
        <v>146250</v>
      </c>
      <c r="D38" s="585">
        <v>146250</v>
      </c>
      <c r="E38" s="584" t="s">
        <v>156</v>
      </c>
      <c r="F38" s="584" t="s">
        <v>100</v>
      </c>
      <c r="G38" s="584" t="s">
        <v>1549</v>
      </c>
      <c r="H38" s="586" t="s">
        <v>100</v>
      </c>
    </row>
    <row r="39" spans="1:8" ht="15">
      <c r="A39" s="579" t="s">
        <v>230</v>
      </c>
      <c r="B39" s="580" t="s">
        <v>1555</v>
      </c>
      <c r="C39" s="581">
        <v>0</v>
      </c>
      <c r="D39" s="581">
        <v>0</v>
      </c>
      <c r="E39" s="580" t="s">
        <v>156</v>
      </c>
      <c r="F39" s="580" t="s">
        <v>100</v>
      </c>
      <c r="G39" s="580" t="s">
        <v>1549</v>
      </c>
      <c r="H39" s="582" t="s">
        <v>100</v>
      </c>
    </row>
    <row r="40" spans="1:8" ht="15">
      <c r="A40" s="583" t="s">
        <v>232</v>
      </c>
      <c r="B40" s="584" t="s">
        <v>233</v>
      </c>
      <c r="C40" s="585">
        <v>0</v>
      </c>
      <c r="D40" s="585">
        <v>130000</v>
      </c>
      <c r="E40" s="584" t="s">
        <v>156</v>
      </c>
      <c r="F40" s="584" t="s">
        <v>100</v>
      </c>
      <c r="G40" s="584" t="s">
        <v>1549</v>
      </c>
      <c r="H40" s="586" t="s">
        <v>100</v>
      </c>
    </row>
    <row r="41" spans="1:8" ht="15">
      <c r="A41" s="579" t="s">
        <v>234</v>
      </c>
      <c r="B41" s="580" t="s">
        <v>235</v>
      </c>
      <c r="C41" s="581">
        <v>0</v>
      </c>
      <c r="D41" s="581">
        <v>-9100</v>
      </c>
      <c r="E41" s="580" t="s">
        <v>156</v>
      </c>
      <c r="F41" s="580" t="s">
        <v>100</v>
      </c>
      <c r="G41" s="580" t="s">
        <v>1549</v>
      </c>
      <c r="H41" s="582" t="s">
        <v>100</v>
      </c>
    </row>
    <row r="42" spans="1:8" ht="15">
      <c r="A42" s="583" t="s">
        <v>236</v>
      </c>
      <c r="B42" s="584" t="s">
        <v>237</v>
      </c>
      <c r="C42" s="585">
        <v>0</v>
      </c>
      <c r="D42" s="585">
        <v>0</v>
      </c>
      <c r="E42" s="584" t="s">
        <v>156</v>
      </c>
      <c r="F42" s="584" t="s">
        <v>100</v>
      </c>
      <c r="G42" s="584" t="s">
        <v>1549</v>
      </c>
      <c r="H42" s="586" t="s">
        <v>100</v>
      </c>
    </row>
    <row r="43" spans="1:8" ht="15">
      <c r="A43" s="579" t="s">
        <v>238</v>
      </c>
      <c r="B43" s="580" t="s">
        <v>239</v>
      </c>
      <c r="C43" s="581">
        <v>0</v>
      </c>
      <c r="D43" s="581">
        <v>0</v>
      </c>
      <c r="E43" s="580" t="s">
        <v>156</v>
      </c>
      <c r="F43" s="580" t="s">
        <v>100</v>
      </c>
      <c r="G43" s="580" t="s">
        <v>1549</v>
      </c>
      <c r="H43" s="582" t="s">
        <v>100</v>
      </c>
    </row>
    <row r="44" spans="1:8" ht="15">
      <c r="A44" s="583" t="s">
        <v>240</v>
      </c>
      <c r="B44" s="584" t="s">
        <v>241</v>
      </c>
      <c r="C44" s="585">
        <v>146250</v>
      </c>
      <c r="D44" s="585">
        <v>267150</v>
      </c>
      <c r="E44" s="584" t="s">
        <v>156</v>
      </c>
      <c r="F44" s="584" t="s">
        <v>100</v>
      </c>
      <c r="G44" s="584" t="s">
        <v>1550</v>
      </c>
      <c r="H44" s="586" t="s">
        <v>242</v>
      </c>
    </row>
    <row r="45" spans="1:8" ht="15">
      <c r="A45" s="579" t="s">
        <v>243</v>
      </c>
      <c r="B45" s="580" t="s">
        <v>244</v>
      </c>
      <c r="C45" s="581">
        <v>0</v>
      </c>
      <c r="D45" s="581">
        <v>0</v>
      </c>
      <c r="E45" s="580" t="s">
        <v>156</v>
      </c>
      <c r="F45" s="580" t="s">
        <v>100</v>
      </c>
      <c r="G45" s="580" t="s">
        <v>1548</v>
      </c>
      <c r="H45" s="582" t="s">
        <v>100</v>
      </c>
    </row>
    <row r="46" spans="1:8" ht="15">
      <c r="A46" s="583" t="s">
        <v>245</v>
      </c>
      <c r="B46" s="584" t="s">
        <v>246</v>
      </c>
      <c r="C46" s="585">
        <v>-376011.03</v>
      </c>
      <c r="D46" s="585">
        <v>-376011.03</v>
      </c>
      <c r="E46" s="584" t="s">
        <v>156</v>
      </c>
      <c r="F46" s="584" t="s">
        <v>100</v>
      </c>
      <c r="G46" s="584" t="s">
        <v>1549</v>
      </c>
      <c r="H46" s="586" t="s">
        <v>100</v>
      </c>
    </row>
    <row r="47" spans="1:8" ht="15">
      <c r="A47" s="579" t="s">
        <v>247</v>
      </c>
      <c r="B47" s="580" t="s">
        <v>248</v>
      </c>
      <c r="C47" s="581">
        <v>-376011.03</v>
      </c>
      <c r="D47" s="581">
        <v>-376011.03</v>
      </c>
      <c r="E47" s="580" t="s">
        <v>156</v>
      </c>
      <c r="F47" s="580" t="s">
        <v>100</v>
      </c>
      <c r="G47" s="580" t="s">
        <v>1550</v>
      </c>
      <c r="H47" s="582" t="s">
        <v>249</v>
      </c>
    </row>
    <row r="48" spans="1:8" ht="15">
      <c r="A48" s="583" t="s">
        <v>250</v>
      </c>
      <c r="B48" s="584" t="s">
        <v>251</v>
      </c>
      <c r="C48" s="585">
        <v>-615211.27</v>
      </c>
      <c r="D48" s="585">
        <v>-526734.56000000006</v>
      </c>
      <c r="E48" s="584" t="s">
        <v>156</v>
      </c>
      <c r="F48" s="584" t="s">
        <v>100</v>
      </c>
      <c r="G48" s="584" t="s">
        <v>1550</v>
      </c>
      <c r="H48" s="586" t="s">
        <v>252</v>
      </c>
    </row>
    <row r="49" spans="1:8" ht="15">
      <c r="A49" s="579" t="s">
        <v>253</v>
      </c>
      <c r="B49" s="580" t="s">
        <v>254</v>
      </c>
      <c r="C49" s="581">
        <v>0</v>
      </c>
      <c r="D49" s="581">
        <v>0</v>
      </c>
      <c r="E49" s="580" t="s">
        <v>156</v>
      </c>
      <c r="F49" s="580" t="s">
        <v>100</v>
      </c>
      <c r="G49" s="580" t="s">
        <v>1548</v>
      </c>
      <c r="H49" s="582" t="s">
        <v>100</v>
      </c>
    </row>
    <row r="50" spans="1:8" ht="15">
      <c r="A50" s="583" t="s">
        <v>255</v>
      </c>
      <c r="B50" s="584" t="s">
        <v>256</v>
      </c>
      <c r="C50" s="585">
        <v>0</v>
      </c>
      <c r="D50" s="585">
        <v>0</v>
      </c>
      <c r="E50" s="584" t="s">
        <v>156</v>
      </c>
      <c r="F50" s="584" t="s">
        <v>100</v>
      </c>
      <c r="G50" s="584" t="s">
        <v>1549</v>
      </c>
      <c r="H50" s="586" t="s">
        <v>100</v>
      </c>
    </row>
    <row r="51" spans="1:8" ht="15">
      <c r="A51" s="579" t="s">
        <v>257</v>
      </c>
      <c r="B51" s="580" t="s">
        <v>258</v>
      </c>
      <c r="C51" s="581">
        <v>0</v>
      </c>
      <c r="D51" s="581">
        <v>0</v>
      </c>
      <c r="E51" s="580" t="s">
        <v>156</v>
      </c>
      <c r="F51" s="580" t="s">
        <v>100</v>
      </c>
      <c r="G51" s="580" t="s">
        <v>1549</v>
      </c>
      <c r="H51" s="582" t="s">
        <v>100</v>
      </c>
    </row>
    <row r="52" spans="1:8" ht="15">
      <c r="A52" s="583" t="s">
        <v>259</v>
      </c>
      <c r="B52" s="584" t="s">
        <v>260</v>
      </c>
      <c r="C52" s="585">
        <v>5459.68</v>
      </c>
      <c r="D52" s="585">
        <v>5459.68</v>
      </c>
      <c r="E52" s="584" t="s">
        <v>156</v>
      </c>
      <c r="F52" s="584" t="s">
        <v>100</v>
      </c>
      <c r="G52" s="584" t="s">
        <v>1549</v>
      </c>
      <c r="H52" s="586" t="s">
        <v>100</v>
      </c>
    </row>
    <row r="53" spans="1:8" ht="15">
      <c r="A53" s="579" t="s">
        <v>261</v>
      </c>
      <c r="B53" s="580" t="s">
        <v>262</v>
      </c>
      <c r="C53" s="581">
        <v>0</v>
      </c>
      <c r="D53" s="581">
        <v>0</v>
      </c>
      <c r="E53" s="580" t="s">
        <v>156</v>
      </c>
      <c r="F53" s="580" t="s">
        <v>100</v>
      </c>
      <c r="G53" s="580" t="s">
        <v>1549</v>
      </c>
      <c r="H53" s="582" t="s">
        <v>100</v>
      </c>
    </row>
    <row r="54" spans="1:8" ht="15">
      <c r="A54" s="583" t="s">
        <v>263</v>
      </c>
      <c r="B54" s="584" t="s">
        <v>264</v>
      </c>
      <c r="C54" s="585">
        <v>-2316.56</v>
      </c>
      <c r="D54" s="585">
        <v>-2316.56</v>
      </c>
      <c r="E54" s="584" t="s">
        <v>156</v>
      </c>
      <c r="F54" s="584" t="s">
        <v>100</v>
      </c>
      <c r="G54" s="584" t="s">
        <v>1549</v>
      </c>
      <c r="H54" s="586" t="s">
        <v>100</v>
      </c>
    </row>
    <row r="55" spans="1:8" ht="15">
      <c r="A55" s="579" t="s">
        <v>265</v>
      </c>
      <c r="B55" s="580" t="s">
        <v>266</v>
      </c>
      <c r="C55" s="581">
        <v>32329.59</v>
      </c>
      <c r="D55" s="581">
        <v>32329.59</v>
      </c>
      <c r="E55" s="580" t="s">
        <v>156</v>
      </c>
      <c r="F55" s="580" t="s">
        <v>100</v>
      </c>
      <c r="G55" s="580" t="s">
        <v>1549</v>
      </c>
      <c r="H55" s="582" t="s">
        <v>100</v>
      </c>
    </row>
    <row r="56" spans="1:8" ht="15">
      <c r="A56" s="583" t="s">
        <v>267</v>
      </c>
      <c r="B56" s="584" t="s">
        <v>268</v>
      </c>
      <c r="C56" s="585">
        <v>0</v>
      </c>
      <c r="D56" s="585">
        <v>0</v>
      </c>
      <c r="E56" s="584" t="s">
        <v>156</v>
      </c>
      <c r="F56" s="584" t="s">
        <v>100</v>
      </c>
      <c r="G56" s="584" t="s">
        <v>1549</v>
      </c>
      <c r="H56" s="586" t="s">
        <v>100</v>
      </c>
    </row>
    <row r="57" spans="1:8" ht="15">
      <c r="A57" s="579" t="s">
        <v>269</v>
      </c>
      <c r="B57" s="580" t="s">
        <v>270</v>
      </c>
      <c r="C57" s="581">
        <v>-10099.200000000001</v>
      </c>
      <c r="D57" s="581">
        <v>-13465.6</v>
      </c>
      <c r="E57" s="580" t="s">
        <v>156</v>
      </c>
      <c r="F57" s="580" t="s">
        <v>100</v>
      </c>
      <c r="G57" s="580" t="s">
        <v>1549</v>
      </c>
      <c r="H57" s="582" t="s">
        <v>100</v>
      </c>
    </row>
    <row r="58" spans="1:8" ht="15">
      <c r="A58" s="583" t="s">
        <v>271</v>
      </c>
      <c r="B58" s="584" t="s">
        <v>272</v>
      </c>
      <c r="C58" s="585">
        <v>0</v>
      </c>
      <c r="D58" s="585">
        <v>0</v>
      </c>
      <c r="E58" s="584" t="s">
        <v>156</v>
      </c>
      <c r="F58" s="584" t="s">
        <v>100</v>
      </c>
      <c r="G58" s="584" t="s">
        <v>1549</v>
      </c>
      <c r="H58" s="586" t="s">
        <v>100</v>
      </c>
    </row>
    <row r="59" spans="1:8" ht="15">
      <c r="A59" s="579" t="s">
        <v>273</v>
      </c>
      <c r="B59" s="580" t="s">
        <v>274</v>
      </c>
      <c r="C59" s="581">
        <v>15.56</v>
      </c>
      <c r="D59" s="581">
        <v>183.6</v>
      </c>
      <c r="E59" s="580" t="s">
        <v>156</v>
      </c>
      <c r="F59" s="580" t="s">
        <v>100</v>
      </c>
      <c r="G59" s="580" t="s">
        <v>1549</v>
      </c>
      <c r="H59" s="582" t="s">
        <v>100</v>
      </c>
    </row>
    <row r="60" spans="1:8" ht="15">
      <c r="A60" s="583" t="s">
        <v>275</v>
      </c>
      <c r="B60" s="584" t="s">
        <v>254</v>
      </c>
      <c r="C60" s="585">
        <v>25389.07</v>
      </c>
      <c r="D60" s="585">
        <v>22190.71</v>
      </c>
      <c r="E60" s="584" t="s">
        <v>156</v>
      </c>
      <c r="F60" s="584" t="s">
        <v>100</v>
      </c>
      <c r="G60" s="584" t="s">
        <v>1550</v>
      </c>
      <c r="H60" s="586" t="s">
        <v>276</v>
      </c>
    </row>
    <row r="61" spans="1:8" ht="15">
      <c r="A61" s="579" t="s">
        <v>277</v>
      </c>
      <c r="B61" s="580" t="s">
        <v>278</v>
      </c>
      <c r="C61" s="581">
        <v>-6656436.2800000003</v>
      </c>
      <c r="D61" s="581">
        <v>-14297814.050000001</v>
      </c>
      <c r="E61" s="580" t="s">
        <v>156</v>
      </c>
      <c r="F61" s="580" t="s">
        <v>100</v>
      </c>
      <c r="G61" s="580" t="s">
        <v>1550</v>
      </c>
      <c r="H61" s="582" t="s">
        <v>279</v>
      </c>
    </row>
    <row r="62" spans="1:8" ht="15">
      <c r="A62" s="583" t="s">
        <v>280</v>
      </c>
      <c r="B62" s="584" t="s">
        <v>281</v>
      </c>
      <c r="C62" s="585">
        <v>0</v>
      </c>
      <c r="D62" s="585">
        <v>0</v>
      </c>
      <c r="E62" s="584" t="s">
        <v>156</v>
      </c>
      <c r="F62" s="584" t="s">
        <v>100</v>
      </c>
      <c r="G62" s="584" t="s">
        <v>1548</v>
      </c>
      <c r="H62" s="586" t="s">
        <v>100</v>
      </c>
    </row>
    <row r="63" spans="1:8" ht="15">
      <c r="A63" s="579" t="s">
        <v>282</v>
      </c>
      <c r="B63" s="580" t="s">
        <v>281</v>
      </c>
      <c r="C63" s="581">
        <v>0</v>
      </c>
      <c r="D63" s="581">
        <v>0</v>
      </c>
      <c r="E63" s="580" t="s">
        <v>156</v>
      </c>
      <c r="F63" s="580" t="s">
        <v>100</v>
      </c>
      <c r="G63" s="580" t="s">
        <v>1548</v>
      </c>
      <c r="H63" s="582" t="s">
        <v>100</v>
      </c>
    </row>
    <row r="64" spans="1:8" ht="15">
      <c r="A64" s="583" t="s">
        <v>283</v>
      </c>
      <c r="B64" s="584" t="s">
        <v>284</v>
      </c>
      <c r="C64" s="585">
        <v>0</v>
      </c>
      <c r="D64" s="585">
        <v>0</v>
      </c>
      <c r="E64" s="584" t="s">
        <v>156</v>
      </c>
      <c r="F64" s="584" t="s">
        <v>100</v>
      </c>
      <c r="G64" s="584" t="s">
        <v>1548</v>
      </c>
      <c r="H64" s="586" t="s">
        <v>100</v>
      </c>
    </row>
    <row r="65" spans="1:8" ht="15">
      <c r="A65" s="579" t="s">
        <v>285</v>
      </c>
      <c r="B65" s="580" t="s">
        <v>286</v>
      </c>
      <c r="C65" s="581">
        <v>0</v>
      </c>
      <c r="D65" s="581">
        <v>0</v>
      </c>
      <c r="E65" s="580" t="s">
        <v>156</v>
      </c>
      <c r="F65" s="580" t="s">
        <v>100</v>
      </c>
      <c r="G65" s="580" t="s">
        <v>1548</v>
      </c>
      <c r="H65" s="582" t="s">
        <v>100</v>
      </c>
    </row>
    <row r="66" spans="1:8" ht="15">
      <c r="A66" s="583" t="s">
        <v>287</v>
      </c>
      <c r="B66" s="584" t="s">
        <v>288</v>
      </c>
      <c r="C66" s="585">
        <v>7315392.3600000003</v>
      </c>
      <c r="D66" s="585">
        <v>7980831.8399999999</v>
      </c>
      <c r="E66" s="584" t="s">
        <v>156</v>
      </c>
      <c r="F66" s="584" t="s">
        <v>100</v>
      </c>
      <c r="G66" s="584" t="s">
        <v>1549</v>
      </c>
      <c r="H66" s="586" t="s">
        <v>100</v>
      </c>
    </row>
    <row r="67" spans="1:8" ht="15">
      <c r="A67" s="579" t="s">
        <v>289</v>
      </c>
      <c r="B67" s="580" t="s">
        <v>1557</v>
      </c>
      <c r="C67" s="581">
        <v>0</v>
      </c>
      <c r="D67" s="581">
        <v>0</v>
      </c>
      <c r="E67" s="580" t="s">
        <v>156</v>
      </c>
      <c r="F67" s="580" t="s">
        <v>100</v>
      </c>
      <c r="G67" s="580" t="s">
        <v>1549</v>
      </c>
      <c r="H67" s="582" t="s">
        <v>100</v>
      </c>
    </row>
    <row r="68" spans="1:8" ht="15">
      <c r="A68" s="583" t="s">
        <v>291</v>
      </c>
      <c r="B68" s="584" t="s">
        <v>292</v>
      </c>
      <c r="C68" s="585">
        <v>0</v>
      </c>
      <c r="D68" s="585">
        <v>0</v>
      </c>
      <c r="E68" s="584" t="s">
        <v>156</v>
      </c>
      <c r="F68" s="584" t="s">
        <v>100</v>
      </c>
      <c r="G68" s="584" t="s">
        <v>1549</v>
      </c>
      <c r="H68" s="586" t="s">
        <v>100</v>
      </c>
    </row>
    <row r="69" spans="1:8" ht="15">
      <c r="A69" s="579" t="s">
        <v>293</v>
      </c>
      <c r="B69" s="580" t="s">
        <v>294</v>
      </c>
      <c r="C69" s="581">
        <v>-85240</v>
      </c>
      <c r="D69" s="581">
        <v>-128633</v>
      </c>
      <c r="E69" s="580" t="s">
        <v>156</v>
      </c>
      <c r="F69" s="580" t="s">
        <v>100</v>
      </c>
      <c r="G69" s="580" t="s">
        <v>1549</v>
      </c>
      <c r="H69" s="582" t="s">
        <v>100</v>
      </c>
    </row>
    <row r="70" spans="1:8" ht="15">
      <c r="A70" s="583" t="s">
        <v>295</v>
      </c>
      <c r="B70" s="584" t="s">
        <v>296</v>
      </c>
      <c r="C70" s="585">
        <v>416533.13</v>
      </c>
      <c r="D70" s="585">
        <v>453006.89</v>
      </c>
      <c r="E70" s="584" t="s">
        <v>156</v>
      </c>
      <c r="F70" s="584" t="s">
        <v>100</v>
      </c>
      <c r="G70" s="584" t="s">
        <v>1549</v>
      </c>
      <c r="H70" s="586" t="s">
        <v>100</v>
      </c>
    </row>
    <row r="71" spans="1:8" ht="15">
      <c r="A71" s="579" t="s">
        <v>297</v>
      </c>
      <c r="B71" s="580" t="s">
        <v>298</v>
      </c>
      <c r="C71" s="581">
        <v>858889.16</v>
      </c>
      <c r="D71" s="581">
        <v>940406.44</v>
      </c>
      <c r="E71" s="580" t="s">
        <v>156</v>
      </c>
      <c r="F71" s="580" t="s">
        <v>100</v>
      </c>
      <c r="G71" s="580" t="s">
        <v>1549</v>
      </c>
      <c r="H71" s="582" t="s">
        <v>100</v>
      </c>
    </row>
    <row r="72" spans="1:8" ht="15">
      <c r="A72" s="583" t="s">
        <v>299</v>
      </c>
      <c r="B72" s="584" t="s">
        <v>300</v>
      </c>
      <c r="C72" s="585">
        <v>145392.29999999999</v>
      </c>
      <c r="D72" s="585">
        <v>146488.32999999999</v>
      </c>
      <c r="E72" s="584" t="s">
        <v>156</v>
      </c>
      <c r="F72" s="584" t="s">
        <v>100</v>
      </c>
      <c r="G72" s="584" t="s">
        <v>1549</v>
      </c>
      <c r="H72" s="586" t="s">
        <v>100</v>
      </c>
    </row>
    <row r="73" spans="1:8" ht="15">
      <c r="A73" s="579" t="s">
        <v>301</v>
      </c>
      <c r="B73" s="580" t="s">
        <v>302</v>
      </c>
      <c r="C73" s="581">
        <v>-160291.45000000001</v>
      </c>
      <c r="D73" s="581">
        <v>-126855.11</v>
      </c>
      <c r="E73" s="580" t="s">
        <v>156</v>
      </c>
      <c r="F73" s="580" t="s">
        <v>100</v>
      </c>
      <c r="G73" s="580" t="s">
        <v>1549</v>
      </c>
      <c r="H73" s="582" t="s">
        <v>100</v>
      </c>
    </row>
    <row r="74" spans="1:8" ht="15">
      <c r="A74" s="583" t="s">
        <v>303</v>
      </c>
      <c r="B74" s="584" t="s">
        <v>304</v>
      </c>
      <c r="C74" s="585">
        <v>-1400256.56</v>
      </c>
      <c r="D74" s="585">
        <v>-1468694.49</v>
      </c>
      <c r="E74" s="584" t="s">
        <v>156</v>
      </c>
      <c r="F74" s="584" t="s">
        <v>100</v>
      </c>
      <c r="G74" s="584" t="s">
        <v>1549</v>
      </c>
      <c r="H74" s="586" t="s">
        <v>100</v>
      </c>
    </row>
    <row r="75" spans="1:8" ht="15">
      <c r="A75" s="579" t="s">
        <v>305</v>
      </c>
      <c r="B75" s="580" t="s">
        <v>306</v>
      </c>
      <c r="C75" s="581">
        <v>59074.2</v>
      </c>
      <c r="D75" s="581">
        <v>64659.75</v>
      </c>
      <c r="E75" s="580" t="s">
        <v>156</v>
      </c>
      <c r="F75" s="580" t="s">
        <v>100</v>
      </c>
      <c r="G75" s="580" t="s">
        <v>1549</v>
      </c>
      <c r="H75" s="582" t="s">
        <v>100</v>
      </c>
    </row>
    <row r="76" spans="1:8" ht="15">
      <c r="A76" s="583" t="s">
        <v>307</v>
      </c>
      <c r="B76" s="584" t="s">
        <v>308</v>
      </c>
      <c r="C76" s="585">
        <v>-4250</v>
      </c>
      <c r="D76" s="585">
        <v>-4500</v>
      </c>
      <c r="E76" s="584" t="s">
        <v>156</v>
      </c>
      <c r="F76" s="584" t="s">
        <v>100</v>
      </c>
      <c r="G76" s="584" t="s">
        <v>1549</v>
      </c>
      <c r="H76" s="586" t="s">
        <v>100</v>
      </c>
    </row>
    <row r="77" spans="1:8" ht="15">
      <c r="A77" s="579" t="s">
        <v>309</v>
      </c>
      <c r="B77" s="580" t="s">
        <v>1558</v>
      </c>
      <c r="C77" s="581">
        <v>0</v>
      </c>
      <c r="D77" s="581">
        <v>0</v>
      </c>
      <c r="E77" s="580" t="s">
        <v>156</v>
      </c>
      <c r="F77" s="580" t="s">
        <v>100</v>
      </c>
      <c r="G77" s="580" t="s">
        <v>1549</v>
      </c>
      <c r="H77" s="582" t="s">
        <v>100</v>
      </c>
    </row>
    <row r="78" spans="1:8" ht="15">
      <c r="A78" s="583" t="s">
        <v>311</v>
      </c>
      <c r="B78" s="584" t="s">
        <v>312</v>
      </c>
      <c r="C78" s="585">
        <v>7145243.1399999997</v>
      </c>
      <c r="D78" s="585">
        <v>7856710.6500000004</v>
      </c>
      <c r="E78" s="584" t="s">
        <v>156</v>
      </c>
      <c r="F78" s="584" t="s">
        <v>100</v>
      </c>
      <c r="G78" s="584" t="s">
        <v>1550</v>
      </c>
      <c r="H78" s="586" t="s">
        <v>313</v>
      </c>
    </row>
    <row r="79" spans="1:8" ht="15">
      <c r="A79" s="579" t="s">
        <v>314</v>
      </c>
      <c r="B79" s="580" t="s">
        <v>315</v>
      </c>
      <c r="C79" s="581">
        <v>0</v>
      </c>
      <c r="D79" s="581">
        <v>0</v>
      </c>
      <c r="E79" s="580" t="s">
        <v>156</v>
      </c>
      <c r="F79" s="580" t="s">
        <v>100</v>
      </c>
      <c r="G79" s="580" t="s">
        <v>1548</v>
      </c>
      <c r="H79" s="582" t="s">
        <v>100</v>
      </c>
    </row>
    <row r="80" spans="1:8" ht="15">
      <c r="A80" s="583" t="s">
        <v>316</v>
      </c>
      <c r="B80" s="584" t="s">
        <v>317</v>
      </c>
      <c r="C80" s="585">
        <v>274510.63</v>
      </c>
      <c r="D80" s="585">
        <v>303561.67</v>
      </c>
      <c r="E80" s="584" t="s">
        <v>156</v>
      </c>
      <c r="F80" s="584" t="s">
        <v>100</v>
      </c>
      <c r="G80" s="584" t="s">
        <v>1549</v>
      </c>
      <c r="H80" s="586" t="s">
        <v>100</v>
      </c>
    </row>
    <row r="81" spans="1:8" ht="15">
      <c r="A81" s="579" t="s">
        <v>318</v>
      </c>
      <c r="B81" s="580" t="s">
        <v>319</v>
      </c>
      <c r="C81" s="581">
        <v>0</v>
      </c>
      <c r="D81" s="581">
        <v>0</v>
      </c>
      <c r="E81" s="580" t="s">
        <v>156</v>
      </c>
      <c r="F81" s="580" t="s">
        <v>100</v>
      </c>
      <c r="G81" s="580" t="s">
        <v>1549</v>
      </c>
      <c r="H81" s="582" t="s">
        <v>100</v>
      </c>
    </row>
    <row r="82" spans="1:8" ht="15">
      <c r="A82" s="583" t="s">
        <v>320</v>
      </c>
      <c r="B82" s="584" t="s">
        <v>321</v>
      </c>
      <c r="C82" s="585">
        <v>109939.52</v>
      </c>
      <c r="D82" s="585">
        <v>133570.67000000001</v>
      </c>
      <c r="E82" s="584" t="s">
        <v>156</v>
      </c>
      <c r="F82" s="584" t="s">
        <v>100</v>
      </c>
      <c r="G82" s="584" t="s">
        <v>1549</v>
      </c>
      <c r="H82" s="586" t="s">
        <v>100</v>
      </c>
    </row>
    <row r="83" spans="1:8" ht="15">
      <c r="A83" s="579" t="s">
        <v>322</v>
      </c>
      <c r="B83" s="580" t="s">
        <v>323</v>
      </c>
      <c r="C83" s="581">
        <v>22350.95</v>
      </c>
      <c r="D83" s="581">
        <v>22257.200000000001</v>
      </c>
      <c r="E83" s="580" t="s">
        <v>156</v>
      </c>
      <c r="F83" s="580" t="s">
        <v>100</v>
      </c>
      <c r="G83" s="580" t="s">
        <v>1549</v>
      </c>
      <c r="H83" s="582" t="s">
        <v>100</v>
      </c>
    </row>
    <row r="84" spans="1:8" ht="15">
      <c r="A84" s="583" t="s">
        <v>324</v>
      </c>
      <c r="B84" s="584" t="s">
        <v>325</v>
      </c>
      <c r="C84" s="585">
        <v>9608.7099999999991</v>
      </c>
      <c r="D84" s="585">
        <v>23699.77</v>
      </c>
      <c r="E84" s="584" t="s">
        <v>156</v>
      </c>
      <c r="F84" s="584" t="s">
        <v>100</v>
      </c>
      <c r="G84" s="584" t="s">
        <v>1549</v>
      </c>
      <c r="H84" s="586" t="s">
        <v>100</v>
      </c>
    </row>
    <row r="85" spans="1:8" ht="15">
      <c r="A85" s="579" t="s">
        <v>326</v>
      </c>
      <c r="B85" s="580" t="s">
        <v>327</v>
      </c>
      <c r="C85" s="581">
        <v>0</v>
      </c>
      <c r="D85" s="581">
        <v>0</v>
      </c>
      <c r="E85" s="580" t="s">
        <v>156</v>
      </c>
      <c r="F85" s="580" t="s">
        <v>100</v>
      </c>
      <c r="G85" s="580" t="s">
        <v>1549</v>
      </c>
      <c r="H85" s="582" t="s">
        <v>100</v>
      </c>
    </row>
    <row r="86" spans="1:8" ht="15">
      <c r="A86" s="583" t="s">
        <v>328</v>
      </c>
      <c r="B86" s="584" t="s">
        <v>329</v>
      </c>
      <c r="C86" s="585">
        <v>416409.81</v>
      </c>
      <c r="D86" s="585">
        <v>483089.31</v>
      </c>
      <c r="E86" s="584" t="s">
        <v>156</v>
      </c>
      <c r="F86" s="584" t="s">
        <v>100</v>
      </c>
      <c r="G86" s="584" t="s">
        <v>1550</v>
      </c>
      <c r="H86" s="586" t="s">
        <v>330</v>
      </c>
    </row>
    <row r="87" spans="1:8" ht="15">
      <c r="A87" s="579" t="s">
        <v>331</v>
      </c>
      <c r="B87" s="580" t="s">
        <v>332</v>
      </c>
      <c r="C87" s="581">
        <v>0</v>
      </c>
      <c r="D87" s="581">
        <v>0</v>
      </c>
      <c r="E87" s="580" t="s">
        <v>156</v>
      </c>
      <c r="F87" s="580" t="s">
        <v>100</v>
      </c>
      <c r="G87" s="580" t="s">
        <v>1548</v>
      </c>
      <c r="H87" s="582" t="s">
        <v>100</v>
      </c>
    </row>
    <row r="88" spans="1:8" ht="15">
      <c r="A88" s="583" t="s">
        <v>333</v>
      </c>
      <c r="B88" s="584" t="s">
        <v>334</v>
      </c>
      <c r="C88" s="585">
        <v>167009.87</v>
      </c>
      <c r="D88" s="585">
        <v>167009.87</v>
      </c>
      <c r="E88" s="584" t="s">
        <v>156</v>
      </c>
      <c r="F88" s="584" t="s">
        <v>100</v>
      </c>
      <c r="G88" s="584" t="s">
        <v>1549</v>
      </c>
      <c r="H88" s="586" t="s">
        <v>100</v>
      </c>
    </row>
    <row r="89" spans="1:8" ht="15">
      <c r="A89" s="579" t="s">
        <v>335</v>
      </c>
      <c r="B89" s="580" t="s">
        <v>336</v>
      </c>
      <c r="C89" s="581">
        <v>73453.09</v>
      </c>
      <c r="D89" s="581">
        <v>85759.69</v>
      </c>
      <c r="E89" s="580" t="s">
        <v>156</v>
      </c>
      <c r="F89" s="580" t="s">
        <v>100</v>
      </c>
      <c r="G89" s="580" t="s">
        <v>1549</v>
      </c>
      <c r="H89" s="582" t="s">
        <v>100</v>
      </c>
    </row>
    <row r="90" spans="1:8" ht="15">
      <c r="A90" s="583" t="s">
        <v>337</v>
      </c>
      <c r="B90" s="584" t="s">
        <v>338</v>
      </c>
      <c r="C90" s="585">
        <v>240462.96</v>
      </c>
      <c r="D90" s="585">
        <v>252769.56</v>
      </c>
      <c r="E90" s="584" t="s">
        <v>156</v>
      </c>
      <c r="F90" s="584" t="s">
        <v>100</v>
      </c>
      <c r="G90" s="584" t="s">
        <v>1550</v>
      </c>
      <c r="H90" s="586" t="s">
        <v>339</v>
      </c>
    </row>
    <row r="91" spans="1:8" ht="15">
      <c r="A91" s="579" t="s">
        <v>340</v>
      </c>
      <c r="B91" s="580" t="s">
        <v>341</v>
      </c>
      <c r="C91" s="581">
        <v>7802115.9100000001</v>
      </c>
      <c r="D91" s="581">
        <v>8592569.5199999996</v>
      </c>
      <c r="E91" s="580" t="s">
        <v>156</v>
      </c>
      <c r="F91" s="580" t="s">
        <v>100</v>
      </c>
      <c r="G91" s="580" t="s">
        <v>1550</v>
      </c>
      <c r="H91" s="582" t="s">
        <v>342</v>
      </c>
    </row>
    <row r="92" spans="1:8" ht="15">
      <c r="A92" s="583" t="s">
        <v>343</v>
      </c>
      <c r="B92" s="584" t="s">
        <v>344</v>
      </c>
      <c r="C92" s="585">
        <v>0</v>
      </c>
      <c r="D92" s="585">
        <v>0</v>
      </c>
      <c r="E92" s="584" t="s">
        <v>156</v>
      </c>
      <c r="F92" s="584" t="s">
        <v>100</v>
      </c>
      <c r="G92" s="584" t="s">
        <v>1548</v>
      </c>
      <c r="H92" s="586" t="s">
        <v>100</v>
      </c>
    </row>
    <row r="93" spans="1:8" ht="15">
      <c r="A93" s="579" t="s">
        <v>345</v>
      </c>
      <c r="B93" s="580" t="s">
        <v>346</v>
      </c>
      <c r="C93" s="581">
        <v>1809.22</v>
      </c>
      <c r="D93" s="581">
        <v>2190.1799999999998</v>
      </c>
      <c r="E93" s="580" t="s">
        <v>156</v>
      </c>
      <c r="F93" s="580" t="s">
        <v>100</v>
      </c>
      <c r="G93" s="580" t="s">
        <v>1549</v>
      </c>
      <c r="H93" s="582" t="s">
        <v>100</v>
      </c>
    </row>
    <row r="94" spans="1:8" ht="15">
      <c r="A94" s="583" t="s">
        <v>347</v>
      </c>
      <c r="B94" s="584" t="s">
        <v>348</v>
      </c>
      <c r="C94" s="585">
        <v>165896.09</v>
      </c>
      <c r="D94" s="585">
        <v>165896.09</v>
      </c>
      <c r="E94" s="584" t="s">
        <v>156</v>
      </c>
      <c r="F94" s="584" t="s">
        <v>100</v>
      </c>
      <c r="G94" s="584" t="s">
        <v>1549</v>
      </c>
      <c r="H94" s="586" t="s">
        <v>100</v>
      </c>
    </row>
    <row r="95" spans="1:8" ht="15">
      <c r="A95" s="579" t="s">
        <v>349</v>
      </c>
      <c r="B95" s="580" t="s">
        <v>350</v>
      </c>
      <c r="C95" s="581">
        <v>0</v>
      </c>
      <c r="D95" s="581">
        <v>0</v>
      </c>
      <c r="E95" s="580" t="s">
        <v>156</v>
      </c>
      <c r="F95" s="580" t="s">
        <v>100</v>
      </c>
      <c r="G95" s="580" t="s">
        <v>1549</v>
      </c>
      <c r="H95" s="582" t="s">
        <v>100</v>
      </c>
    </row>
    <row r="96" spans="1:8" ht="15">
      <c r="A96" s="583" t="s">
        <v>351</v>
      </c>
      <c r="B96" s="584" t="s">
        <v>352</v>
      </c>
      <c r="C96" s="585">
        <v>0</v>
      </c>
      <c r="D96" s="585">
        <v>0</v>
      </c>
      <c r="E96" s="584" t="s">
        <v>156</v>
      </c>
      <c r="F96" s="584" t="s">
        <v>100</v>
      </c>
      <c r="G96" s="584" t="s">
        <v>1549</v>
      </c>
      <c r="H96" s="586" t="s">
        <v>100</v>
      </c>
    </row>
    <row r="97" spans="1:8" ht="15">
      <c r="A97" s="579" t="s">
        <v>353</v>
      </c>
      <c r="B97" s="580" t="s">
        <v>1527</v>
      </c>
      <c r="C97" s="581">
        <v>830244.65</v>
      </c>
      <c r="D97" s="581">
        <v>915075.96</v>
      </c>
      <c r="E97" s="580" t="s">
        <v>156</v>
      </c>
      <c r="F97" s="580" t="s">
        <v>100</v>
      </c>
      <c r="G97" s="580" t="s">
        <v>1549</v>
      </c>
      <c r="H97" s="582" t="s">
        <v>100</v>
      </c>
    </row>
    <row r="98" spans="1:8" ht="15">
      <c r="A98" s="583" t="s">
        <v>355</v>
      </c>
      <c r="B98" s="584" t="s">
        <v>1563</v>
      </c>
      <c r="C98" s="585">
        <v>2661.65</v>
      </c>
      <c r="D98" s="585">
        <v>2661.65</v>
      </c>
      <c r="E98" s="584" t="s">
        <v>156</v>
      </c>
      <c r="F98" s="584" t="s">
        <v>100</v>
      </c>
      <c r="G98" s="584" t="s">
        <v>1549</v>
      </c>
      <c r="H98" s="586" t="s">
        <v>100</v>
      </c>
    </row>
    <row r="99" spans="1:8" ht="15">
      <c r="A99" s="579" t="s">
        <v>357</v>
      </c>
      <c r="B99" s="580" t="s">
        <v>1564</v>
      </c>
      <c r="C99" s="581">
        <v>0</v>
      </c>
      <c r="D99" s="581">
        <v>0</v>
      </c>
      <c r="E99" s="580" t="s">
        <v>156</v>
      </c>
      <c r="F99" s="580" t="s">
        <v>100</v>
      </c>
      <c r="G99" s="580" t="s">
        <v>1549</v>
      </c>
      <c r="H99" s="582" t="s">
        <v>100</v>
      </c>
    </row>
    <row r="100" spans="1:8" ht="15">
      <c r="A100" s="583" t="s">
        <v>359</v>
      </c>
      <c r="B100" s="584" t="s">
        <v>360</v>
      </c>
      <c r="C100" s="585">
        <v>4361.6499999999996</v>
      </c>
      <c r="D100" s="585">
        <v>4361.6499999999996</v>
      </c>
      <c r="E100" s="584" t="s">
        <v>156</v>
      </c>
      <c r="F100" s="584" t="s">
        <v>100</v>
      </c>
      <c r="G100" s="584" t="s">
        <v>1549</v>
      </c>
      <c r="H100" s="586" t="s">
        <v>100</v>
      </c>
    </row>
    <row r="101" spans="1:8" ht="15">
      <c r="A101" s="579" t="s">
        <v>361</v>
      </c>
      <c r="B101" s="580" t="s">
        <v>362</v>
      </c>
      <c r="C101" s="581">
        <v>0</v>
      </c>
      <c r="D101" s="581">
        <v>0</v>
      </c>
      <c r="E101" s="580" t="s">
        <v>156</v>
      </c>
      <c r="F101" s="580" t="s">
        <v>100</v>
      </c>
      <c r="G101" s="580" t="s">
        <v>1549</v>
      </c>
      <c r="H101" s="582" t="s">
        <v>100</v>
      </c>
    </row>
    <row r="102" spans="1:8" ht="15">
      <c r="A102" s="583" t="s">
        <v>363</v>
      </c>
      <c r="B102" s="584" t="s">
        <v>364</v>
      </c>
      <c r="C102" s="585">
        <v>0</v>
      </c>
      <c r="D102" s="585">
        <v>0</v>
      </c>
      <c r="E102" s="584" t="s">
        <v>156</v>
      </c>
      <c r="F102" s="584" t="s">
        <v>100</v>
      </c>
      <c r="G102" s="584" t="s">
        <v>1549</v>
      </c>
      <c r="H102" s="586" t="s">
        <v>100</v>
      </c>
    </row>
    <row r="103" spans="1:8" ht="15">
      <c r="A103" s="579" t="s">
        <v>365</v>
      </c>
      <c r="B103" s="580" t="s">
        <v>1565</v>
      </c>
      <c r="C103" s="581">
        <v>0</v>
      </c>
      <c r="D103" s="581">
        <v>0</v>
      </c>
      <c r="E103" s="580" t="s">
        <v>156</v>
      </c>
      <c r="F103" s="580" t="s">
        <v>100</v>
      </c>
      <c r="G103" s="580" t="s">
        <v>1549</v>
      </c>
      <c r="H103" s="582" t="s">
        <v>100</v>
      </c>
    </row>
    <row r="104" spans="1:8" ht="15">
      <c r="A104" s="583" t="s">
        <v>367</v>
      </c>
      <c r="B104" s="584" t="s">
        <v>368</v>
      </c>
      <c r="C104" s="585">
        <v>1004973.26</v>
      </c>
      <c r="D104" s="585">
        <v>1090185.53</v>
      </c>
      <c r="E104" s="584" t="s">
        <v>156</v>
      </c>
      <c r="F104" s="584" t="s">
        <v>100</v>
      </c>
      <c r="G104" s="584" t="s">
        <v>1550</v>
      </c>
      <c r="H104" s="586" t="s">
        <v>369</v>
      </c>
    </row>
    <row r="105" spans="1:8" ht="15">
      <c r="A105" s="579" t="s">
        <v>370</v>
      </c>
      <c r="B105" s="580" t="s">
        <v>371</v>
      </c>
      <c r="C105" s="581">
        <v>0</v>
      </c>
      <c r="D105" s="581">
        <v>0</v>
      </c>
      <c r="E105" s="580" t="s">
        <v>156</v>
      </c>
      <c r="F105" s="580" t="s">
        <v>100</v>
      </c>
      <c r="G105" s="580" t="s">
        <v>1548</v>
      </c>
      <c r="H105" s="582" t="s">
        <v>100</v>
      </c>
    </row>
    <row r="106" spans="1:8" ht="15">
      <c r="A106" s="583" t="s">
        <v>372</v>
      </c>
      <c r="B106" s="584" t="s">
        <v>373</v>
      </c>
      <c r="C106" s="585">
        <v>0</v>
      </c>
      <c r="D106" s="585">
        <v>0</v>
      </c>
      <c r="E106" s="584" t="s">
        <v>156</v>
      </c>
      <c r="F106" s="584" t="s">
        <v>100</v>
      </c>
      <c r="G106" s="584" t="s">
        <v>1548</v>
      </c>
      <c r="H106" s="586" t="s">
        <v>100</v>
      </c>
    </row>
    <row r="107" spans="1:8" ht="15">
      <c r="A107" s="579" t="s">
        <v>374</v>
      </c>
      <c r="B107" s="580" t="s">
        <v>375</v>
      </c>
      <c r="C107" s="581">
        <v>172054.94</v>
      </c>
      <c r="D107" s="581">
        <v>199379.15</v>
      </c>
      <c r="E107" s="580" t="s">
        <v>156</v>
      </c>
      <c r="F107" s="580" t="s">
        <v>100</v>
      </c>
      <c r="G107" s="580" t="s">
        <v>1549</v>
      </c>
      <c r="H107" s="582" t="s">
        <v>100</v>
      </c>
    </row>
    <row r="108" spans="1:8" ht="15">
      <c r="A108" s="583" t="s">
        <v>376</v>
      </c>
      <c r="B108" s="584" t="s">
        <v>377</v>
      </c>
      <c r="C108" s="585">
        <v>0</v>
      </c>
      <c r="D108" s="585">
        <v>0</v>
      </c>
      <c r="E108" s="584" t="s">
        <v>156</v>
      </c>
      <c r="F108" s="584" t="s">
        <v>100</v>
      </c>
      <c r="G108" s="584" t="s">
        <v>1549</v>
      </c>
      <c r="H108" s="586" t="s">
        <v>100</v>
      </c>
    </row>
    <row r="109" spans="1:8" ht="15">
      <c r="A109" s="579" t="s">
        <v>378</v>
      </c>
      <c r="B109" s="580" t="s">
        <v>379</v>
      </c>
      <c r="C109" s="581">
        <v>172054.94</v>
      </c>
      <c r="D109" s="581">
        <v>199379.15</v>
      </c>
      <c r="E109" s="580" t="s">
        <v>156</v>
      </c>
      <c r="F109" s="580" t="s">
        <v>100</v>
      </c>
      <c r="G109" s="580" t="s">
        <v>1550</v>
      </c>
      <c r="H109" s="582" t="s">
        <v>380</v>
      </c>
    </row>
    <row r="110" spans="1:8" ht="15">
      <c r="A110" s="583" t="s">
        <v>381</v>
      </c>
      <c r="B110" s="584" t="s">
        <v>382</v>
      </c>
      <c r="C110" s="585">
        <v>0</v>
      </c>
      <c r="D110" s="585">
        <v>0</v>
      </c>
      <c r="E110" s="584" t="s">
        <v>156</v>
      </c>
      <c r="F110" s="584" t="s">
        <v>100</v>
      </c>
      <c r="G110" s="584" t="s">
        <v>1548</v>
      </c>
      <c r="H110" s="586" t="s">
        <v>100</v>
      </c>
    </row>
    <row r="111" spans="1:8" ht="15">
      <c r="A111" s="579" t="s">
        <v>383</v>
      </c>
      <c r="B111" s="580" t="s">
        <v>384</v>
      </c>
      <c r="C111" s="581">
        <v>31704.76</v>
      </c>
      <c r="D111" s="581">
        <v>38424.76</v>
      </c>
      <c r="E111" s="580" t="s">
        <v>156</v>
      </c>
      <c r="F111" s="580" t="s">
        <v>100</v>
      </c>
      <c r="G111" s="580" t="s">
        <v>1549</v>
      </c>
      <c r="H111" s="582" t="s">
        <v>100</v>
      </c>
    </row>
    <row r="112" spans="1:8" ht="15">
      <c r="A112" s="583" t="s">
        <v>385</v>
      </c>
      <c r="B112" s="584" t="s">
        <v>386</v>
      </c>
      <c r="C112" s="585">
        <v>-29184.39</v>
      </c>
      <c r="D112" s="585">
        <v>-29184.39</v>
      </c>
      <c r="E112" s="584" t="s">
        <v>156</v>
      </c>
      <c r="F112" s="584" t="s">
        <v>100</v>
      </c>
      <c r="G112" s="584" t="s">
        <v>1549</v>
      </c>
      <c r="H112" s="586" t="s">
        <v>100</v>
      </c>
    </row>
    <row r="113" spans="1:8" ht="15">
      <c r="A113" s="579" t="s">
        <v>389</v>
      </c>
      <c r="B113" s="580" t="s">
        <v>390</v>
      </c>
      <c r="C113" s="581">
        <v>6948</v>
      </c>
      <c r="D113" s="581">
        <v>8301</v>
      </c>
      <c r="E113" s="580" t="s">
        <v>156</v>
      </c>
      <c r="F113" s="580" t="s">
        <v>100</v>
      </c>
      <c r="G113" s="580" t="s">
        <v>1549</v>
      </c>
      <c r="H113" s="582" t="s">
        <v>100</v>
      </c>
    </row>
    <row r="114" spans="1:8" ht="15">
      <c r="A114" s="583" t="s">
        <v>391</v>
      </c>
      <c r="B114" s="584" t="s">
        <v>392</v>
      </c>
      <c r="C114" s="585">
        <v>0</v>
      </c>
      <c r="D114" s="585">
        <v>0</v>
      </c>
      <c r="E114" s="584" t="s">
        <v>156</v>
      </c>
      <c r="F114" s="584" t="s">
        <v>100</v>
      </c>
      <c r="G114" s="584" t="s">
        <v>1549</v>
      </c>
      <c r="H114" s="586" t="s">
        <v>100</v>
      </c>
    </row>
    <row r="115" spans="1:8" ht="15">
      <c r="A115" s="579" t="s">
        <v>393</v>
      </c>
      <c r="B115" s="580" t="s">
        <v>1566</v>
      </c>
      <c r="C115" s="581">
        <v>0</v>
      </c>
      <c r="D115" s="581">
        <v>1589</v>
      </c>
      <c r="E115" s="580" t="s">
        <v>156</v>
      </c>
      <c r="F115" s="580" t="s">
        <v>100</v>
      </c>
      <c r="G115" s="580" t="s">
        <v>1549</v>
      </c>
      <c r="H115" s="582" t="s">
        <v>100</v>
      </c>
    </row>
    <row r="116" spans="1:8" ht="15">
      <c r="A116" s="583" t="s">
        <v>395</v>
      </c>
      <c r="B116" s="584" t="s">
        <v>396</v>
      </c>
      <c r="C116" s="585">
        <v>0</v>
      </c>
      <c r="D116" s="585">
        <v>0</v>
      </c>
      <c r="E116" s="584" t="s">
        <v>156</v>
      </c>
      <c r="F116" s="584" t="s">
        <v>100</v>
      </c>
      <c r="G116" s="584" t="s">
        <v>1549</v>
      </c>
      <c r="H116" s="586" t="s">
        <v>100</v>
      </c>
    </row>
    <row r="117" spans="1:8" ht="15">
      <c r="A117" s="579" t="s">
        <v>397</v>
      </c>
      <c r="B117" s="580" t="s">
        <v>1568</v>
      </c>
      <c r="C117" s="581">
        <v>1710.85</v>
      </c>
      <c r="D117" s="581">
        <v>1710.85</v>
      </c>
      <c r="E117" s="580" t="s">
        <v>156</v>
      </c>
      <c r="F117" s="580" t="s">
        <v>100</v>
      </c>
      <c r="G117" s="580" t="s">
        <v>1549</v>
      </c>
      <c r="H117" s="582" t="s">
        <v>100</v>
      </c>
    </row>
    <row r="118" spans="1:8" ht="15">
      <c r="A118" s="583" t="s">
        <v>399</v>
      </c>
      <c r="B118" s="584" t="s">
        <v>400</v>
      </c>
      <c r="C118" s="585">
        <v>82967.13</v>
      </c>
      <c r="D118" s="585">
        <v>110779.14</v>
      </c>
      <c r="E118" s="584" t="s">
        <v>156</v>
      </c>
      <c r="F118" s="584" t="s">
        <v>100</v>
      </c>
      <c r="G118" s="584" t="s">
        <v>1549</v>
      </c>
      <c r="H118" s="586" t="s">
        <v>100</v>
      </c>
    </row>
    <row r="119" spans="1:8" ht="15">
      <c r="A119" s="579" t="s">
        <v>401</v>
      </c>
      <c r="B119" s="580" t="s">
        <v>402</v>
      </c>
      <c r="C119" s="581">
        <v>-2537.25</v>
      </c>
      <c r="D119" s="581">
        <v>-2537.25</v>
      </c>
      <c r="E119" s="580" t="s">
        <v>156</v>
      </c>
      <c r="F119" s="580" t="s">
        <v>100</v>
      </c>
      <c r="G119" s="580" t="s">
        <v>1549</v>
      </c>
      <c r="H119" s="582" t="s">
        <v>100</v>
      </c>
    </row>
    <row r="120" spans="1:8" ht="15">
      <c r="A120" s="583" t="s">
        <v>403</v>
      </c>
      <c r="B120" s="584" t="s">
        <v>2023</v>
      </c>
      <c r="C120" s="585">
        <v>288.88</v>
      </c>
      <c r="D120" s="585">
        <v>288.88</v>
      </c>
      <c r="E120" s="584" t="s">
        <v>156</v>
      </c>
      <c r="F120" s="584" t="s">
        <v>100</v>
      </c>
      <c r="G120" s="584" t="s">
        <v>1549</v>
      </c>
      <c r="H120" s="586" t="s">
        <v>100</v>
      </c>
    </row>
    <row r="121" spans="1:8" ht="15">
      <c r="A121" s="579" t="s">
        <v>405</v>
      </c>
      <c r="B121" s="580" t="s">
        <v>1570</v>
      </c>
      <c r="C121" s="581">
        <v>763.7</v>
      </c>
      <c r="D121" s="581">
        <v>763.7</v>
      </c>
      <c r="E121" s="580" t="s">
        <v>156</v>
      </c>
      <c r="F121" s="580" t="s">
        <v>100</v>
      </c>
      <c r="G121" s="580" t="s">
        <v>1549</v>
      </c>
      <c r="H121" s="582" t="s">
        <v>100</v>
      </c>
    </row>
    <row r="122" spans="1:8" ht="15">
      <c r="A122" s="583" t="s">
        <v>407</v>
      </c>
      <c r="B122" s="584" t="s">
        <v>220</v>
      </c>
      <c r="C122" s="585">
        <v>-3260.54</v>
      </c>
      <c r="D122" s="585">
        <v>-3260.54</v>
      </c>
      <c r="E122" s="584" t="s">
        <v>156</v>
      </c>
      <c r="F122" s="584" t="s">
        <v>100</v>
      </c>
      <c r="G122" s="584" t="s">
        <v>1549</v>
      </c>
      <c r="H122" s="586" t="s">
        <v>100</v>
      </c>
    </row>
    <row r="123" spans="1:8" ht="15">
      <c r="A123" s="579" t="s">
        <v>1571</v>
      </c>
      <c r="B123" s="580" t="s">
        <v>388</v>
      </c>
      <c r="C123" s="581">
        <v>0</v>
      </c>
      <c r="D123" s="581">
        <v>0</v>
      </c>
      <c r="E123" s="580" t="s">
        <v>156</v>
      </c>
      <c r="F123" s="580" t="s">
        <v>100</v>
      </c>
      <c r="G123" s="580" t="s">
        <v>1549</v>
      </c>
      <c r="H123" s="582" t="s">
        <v>100</v>
      </c>
    </row>
    <row r="124" spans="1:8" ht="15">
      <c r="A124" s="583" t="s">
        <v>408</v>
      </c>
      <c r="B124" s="584" t="s">
        <v>409</v>
      </c>
      <c r="C124" s="585">
        <v>89401.14</v>
      </c>
      <c r="D124" s="585">
        <v>126875.15</v>
      </c>
      <c r="E124" s="584" t="s">
        <v>156</v>
      </c>
      <c r="F124" s="584" t="s">
        <v>100</v>
      </c>
      <c r="G124" s="584" t="s">
        <v>1550</v>
      </c>
      <c r="H124" s="586" t="s">
        <v>410</v>
      </c>
    </row>
    <row r="125" spans="1:8" ht="15">
      <c r="A125" s="579" t="s">
        <v>411</v>
      </c>
      <c r="B125" s="580" t="s">
        <v>412</v>
      </c>
      <c r="C125" s="581">
        <v>0</v>
      </c>
      <c r="D125" s="581">
        <v>0</v>
      </c>
      <c r="E125" s="580" t="s">
        <v>156</v>
      </c>
      <c r="F125" s="580" t="s">
        <v>100</v>
      </c>
      <c r="G125" s="580" t="s">
        <v>1548</v>
      </c>
      <c r="H125" s="582" t="s">
        <v>100</v>
      </c>
    </row>
    <row r="126" spans="1:8" ht="15">
      <c r="A126" s="583" t="s">
        <v>413</v>
      </c>
      <c r="B126" s="584" t="s">
        <v>414</v>
      </c>
      <c r="C126" s="585">
        <v>0</v>
      </c>
      <c r="D126" s="585">
        <v>0</v>
      </c>
      <c r="E126" s="584" t="s">
        <v>156</v>
      </c>
      <c r="F126" s="584" t="s">
        <v>100</v>
      </c>
      <c r="G126" s="584" t="s">
        <v>1549</v>
      </c>
      <c r="H126" s="586" t="s">
        <v>100</v>
      </c>
    </row>
    <row r="127" spans="1:8" ht="15">
      <c r="A127" s="579" t="s">
        <v>415</v>
      </c>
      <c r="B127" s="580" t="s">
        <v>416</v>
      </c>
      <c r="C127" s="581">
        <v>0</v>
      </c>
      <c r="D127" s="581">
        <v>0</v>
      </c>
      <c r="E127" s="580" t="s">
        <v>156</v>
      </c>
      <c r="F127" s="580" t="s">
        <v>100</v>
      </c>
      <c r="G127" s="580" t="s">
        <v>1550</v>
      </c>
      <c r="H127" s="582" t="s">
        <v>417</v>
      </c>
    </row>
    <row r="128" spans="1:8" ht="15">
      <c r="A128" s="583" t="s">
        <v>418</v>
      </c>
      <c r="B128" s="584" t="s">
        <v>419</v>
      </c>
      <c r="C128" s="585">
        <v>0</v>
      </c>
      <c r="D128" s="585">
        <v>0</v>
      </c>
      <c r="E128" s="584" t="s">
        <v>156</v>
      </c>
      <c r="F128" s="584" t="s">
        <v>100</v>
      </c>
      <c r="G128" s="584" t="s">
        <v>1548</v>
      </c>
      <c r="H128" s="586" t="s">
        <v>100</v>
      </c>
    </row>
    <row r="129" spans="1:20" ht="15">
      <c r="A129" s="579" t="s">
        <v>420</v>
      </c>
      <c r="B129" s="580" t="s">
        <v>56</v>
      </c>
      <c r="C129" s="581">
        <v>32279.21</v>
      </c>
      <c r="D129" s="581">
        <v>32279.21</v>
      </c>
      <c r="E129" s="580" t="s">
        <v>156</v>
      </c>
      <c r="F129" s="580" t="s">
        <v>100</v>
      </c>
      <c r="G129" s="580" t="s">
        <v>1549</v>
      </c>
      <c r="H129" s="582" t="s">
        <v>100</v>
      </c>
    </row>
    <row r="130" spans="1:20" ht="15">
      <c r="A130" s="583" t="s">
        <v>421</v>
      </c>
      <c r="B130" s="584" t="s">
        <v>422</v>
      </c>
      <c r="C130" s="585">
        <v>32279.21</v>
      </c>
      <c r="D130" s="585">
        <v>32279.21</v>
      </c>
      <c r="E130" s="584" t="s">
        <v>156</v>
      </c>
      <c r="F130" s="584" t="s">
        <v>100</v>
      </c>
      <c r="G130" s="584" t="s">
        <v>1550</v>
      </c>
      <c r="H130" s="586" t="s">
        <v>423</v>
      </c>
      <c r="K130" s="549" t="s">
        <v>432</v>
      </c>
      <c r="L130" s="549" t="s">
        <v>148</v>
      </c>
      <c r="M130" s="549" t="s">
        <v>433</v>
      </c>
      <c r="N130" s="549" t="s">
        <v>434</v>
      </c>
      <c r="O130" s="549" t="s">
        <v>435</v>
      </c>
      <c r="P130" s="549" t="s">
        <v>436</v>
      </c>
      <c r="Q130" s="549" t="s">
        <v>61</v>
      </c>
      <c r="R130" s="549" t="s">
        <v>437</v>
      </c>
      <c r="S130" s="549" t="s">
        <v>438</v>
      </c>
      <c r="T130" t="s">
        <v>2024</v>
      </c>
    </row>
    <row r="131" spans="1:20" ht="15">
      <c r="A131" s="579" t="s">
        <v>424</v>
      </c>
      <c r="B131" s="580" t="s">
        <v>425</v>
      </c>
      <c r="C131" s="581">
        <v>293735.28999999998</v>
      </c>
      <c r="D131" s="581">
        <v>358533.51</v>
      </c>
      <c r="E131" s="580" t="s">
        <v>156</v>
      </c>
      <c r="F131" s="580" t="s">
        <v>100</v>
      </c>
      <c r="G131" s="580" t="s">
        <v>1550</v>
      </c>
      <c r="H131" s="582" t="s">
        <v>426</v>
      </c>
      <c r="K131" s="553" t="s">
        <v>427</v>
      </c>
      <c r="L131" s="553" t="s">
        <v>1572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</row>
    <row r="132" spans="1:20" ht="15">
      <c r="A132" s="583" t="s">
        <v>427</v>
      </c>
      <c r="B132" s="584" t="s">
        <v>1572</v>
      </c>
      <c r="C132" s="585">
        <v>0</v>
      </c>
      <c r="D132" s="585">
        <v>0</v>
      </c>
      <c r="E132" s="584" t="s">
        <v>156</v>
      </c>
      <c r="F132" s="584" t="s">
        <v>100</v>
      </c>
      <c r="G132" s="584" t="s">
        <v>1548</v>
      </c>
      <c r="H132" s="586" t="s">
        <v>100</v>
      </c>
      <c r="K132" s="553" t="s">
        <v>430</v>
      </c>
      <c r="L132" s="553" t="s">
        <v>431</v>
      </c>
      <c r="M132" s="1">
        <v>1200</v>
      </c>
      <c r="N132" s="1">
        <v>0</v>
      </c>
      <c r="O132" s="1">
        <v>0</v>
      </c>
      <c r="P132" s="1">
        <v>1200</v>
      </c>
      <c r="Q132" s="1">
        <v>0</v>
      </c>
      <c r="R132" s="1">
        <v>0</v>
      </c>
      <c r="S132" s="1">
        <v>0</v>
      </c>
    </row>
    <row r="133" spans="1:20" ht="15">
      <c r="A133" s="579" t="s">
        <v>430</v>
      </c>
      <c r="B133" s="580" t="s">
        <v>431</v>
      </c>
      <c r="C133" s="581">
        <v>1200</v>
      </c>
      <c r="D133" s="581">
        <v>1200</v>
      </c>
      <c r="E133" s="580" t="s">
        <v>156</v>
      </c>
      <c r="F133" s="580" t="s">
        <v>100</v>
      </c>
      <c r="G133" s="580" t="s">
        <v>1549</v>
      </c>
      <c r="H133" s="582" t="s">
        <v>100</v>
      </c>
      <c r="K133" s="553" t="s">
        <v>439</v>
      </c>
      <c r="L133" s="553" t="s">
        <v>440</v>
      </c>
      <c r="M133" s="1">
        <v>-63073.55</v>
      </c>
      <c r="N133" s="1">
        <v>0</v>
      </c>
      <c r="O133" s="1">
        <v>0</v>
      </c>
      <c r="P133" s="1">
        <v>0</v>
      </c>
      <c r="Q133" s="1">
        <v>-63073.55</v>
      </c>
      <c r="R133" s="1">
        <v>0</v>
      </c>
      <c r="S133" s="1">
        <v>0</v>
      </c>
    </row>
    <row r="134" spans="1:20" ht="15">
      <c r="A134" s="583" t="s">
        <v>439</v>
      </c>
      <c r="B134" s="584" t="s">
        <v>440</v>
      </c>
      <c r="C134" s="585">
        <v>-63073.55</v>
      </c>
      <c r="D134" s="585">
        <v>-63073.55</v>
      </c>
      <c r="E134" s="584" t="s">
        <v>156</v>
      </c>
      <c r="F134" s="584" t="s">
        <v>100</v>
      </c>
      <c r="G134" s="584" t="s">
        <v>1549</v>
      </c>
      <c r="H134" s="586" t="s">
        <v>100</v>
      </c>
      <c r="K134" s="553" t="s">
        <v>441</v>
      </c>
      <c r="L134" s="553" t="s">
        <v>442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</row>
    <row r="135" spans="1:20" ht="15">
      <c r="A135" s="579" t="s">
        <v>441</v>
      </c>
      <c r="B135" s="580" t="s">
        <v>442</v>
      </c>
      <c r="C135" s="581">
        <v>0</v>
      </c>
      <c r="D135" s="581">
        <v>0</v>
      </c>
      <c r="E135" s="580" t="s">
        <v>156</v>
      </c>
      <c r="F135" s="580" t="s">
        <v>100</v>
      </c>
      <c r="G135" s="580" t="s">
        <v>1549</v>
      </c>
      <c r="H135" s="582" t="s">
        <v>100</v>
      </c>
      <c r="K135" s="553" t="s">
        <v>443</v>
      </c>
      <c r="L135" s="553" t="s">
        <v>1573</v>
      </c>
      <c r="M135" s="1">
        <v>89750</v>
      </c>
      <c r="N135" s="1">
        <v>0</v>
      </c>
      <c r="O135" s="1">
        <v>0</v>
      </c>
      <c r="P135" s="1">
        <v>0</v>
      </c>
      <c r="Q135" s="1">
        <v>46750</v>
      </c>
      <c r="R135" s="1">
        <v>43000</v>
      </c>
      <c r="S135" s="1">
        <v>0</v>
      </c>
    </row>
    <row r="136" spans="1:20" ht="15">
      <c r="A136" s="583" t="s">
        <v>443</v>
      </c>
      <c r="B136" s="584" t="s">
        <v>1573</v>
      </c>
      <c r="C136" s="585">
        <v>266390.7</v>
      </c>
      <c r="D136" s="585">
        <v>266390.7</v>
      </c>
      <c r="E136" s="584" t="s">
        <v>156</v>
      </c>
      <c r="F136" s="584" t="s">
        <v>100</v>
      </c>
      <c r="G136" s="584" t="s">
        <v>1549</v>
      </c>
      <c r="H136" s="586" t="s">
        <v>100</v>
      </c>
      <c r="K136" s="553" t="s">
        <v>445</v>
      </c>
      <c r="L136" s="553" t="s">
        <v>446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</row>
    <row r="137" spans="1:20" ht="15">
      <c r="A137" s="579" t="s">
        <v>445</v>
      </c>
      <c r="B137" s="580" t="s">
        <v>446</v>
      </c>
      <c r="C137" s="581">
        <v>0</v>
      </c>
      <c r="D137" s="581">
        <v>0</v>
      </c>
      <c r="E137" s="580" t="s">
        <v>156</v>
      </c>
      <c r="F137" s="580" t="s">
        <v>100</v>
      </c>
      <c r="G137" s="580" t="s">
        <v>1549</v>
      </c>
      <c r="H137" s="582" t="s">
        <v>100</v>
      </c>
      <c r="K137" s="553" t="s">
        <v>447</v>
      </c>
      <c r="L137" s="553" t="s">
        <v>448</v>
      </c>
      <c r="M137" s="1">
        <v>394618.38</v>
      </c>
      <c r="N137" s="1">
        <v>86386.25</v>
      </c>
      <c r="O137" s="1">
        <v>29435</v>
      </c>
      <c r="P137" s="1">
        <v>14389.38</v>
      </c>
      <c r="Q137" s="1">
        <v>147471.25</v>
      </c>
      <c r="R137" s="1">
        <v>85686.5</v>
      </c>
      <c r="S137" s="1">
        <v>31250</v>
      </c>
    </row>
    <row r="138" spans="1:20" ht="15">
      <c r="A138" s="583" t="s">
        <v>447</v>
      </c>
      <c r="B138" s="584" t="s">
        <v>448</v>
      </c>
      <c r="C138" s="585">
        <v>400618.38</v>
      </c>
      <c r="D138" s="585">
        <v>457209.63</v>
      </c>
      <c r="E138" s="584" t="s">
        <v>156</v>
      </c>
      <c r="F138" s="584" t="s">
        <v>100</v>
      </c>
      <c r="G138" s="584" t="s">
        <v>1549</v>
      </c>
      <c r="H138" s="586" t="s">
        <v>100</v>
      </c>
      <c r="K138" s="553" t="s">
        <v>449</v>
      </c>
      <c r="L138" s="553" t="s">
        <v>450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</row>
    <row r="139" spans="1:20" ht="15">
      <c r="A139" s="579" t="s">
        <v>449</v>
      </c>
      <c r="B139" s="580" t="s">
        <v>450</v>
      </c>
      <c r="C139" s="581">
        <v>0</v>
      </c>
      <c r="D139" s="581">
        <v>0</v>
      </c>
      <c r="E139" s="580" t="s">
        <v>156</v>
      </c>
      <c r="F139" s="580" t="s">
        <v>100</v>
      </c>
      <c r="G139" s="580" t="s">
        <v>1549</v>
      </c>
      <c r="H139" s="582" t="s">
        <v>100</v>
      </c>
      <c r="K139" s="553" t="s">
        <v>451</v>
      </c>
      <c r="L139" s="553" t="s">
        <v>452</v>
      </c>
      <c r="M139" s="1">
        <v>259329.13</v>
      </c>
      <c r="N139" s="1">
        <v>73978.98</v>
      </c>
      <c r="O139" s="1">
        <v>10782.57</v>
      </c>
      <c r="P139" s="1">
        <v>0</v>
      </c>
      <c r="Q139" s="1">
        <v>109690.74</v>
      </c>
      <c r="R139" s="1">
        <v>64876.84</v>
      </c>
      <c r="S139" s="1">
        <v>0</v>
      </c>
    </row>
    <row r="140" spans="1:20" ht="15">
      <c r="A140" s="583" t="s">
        <v>451</v>
      </c>
      <c r="B140" s="584" t="s">
        <v>452</v>
      </c>
      <c r="C140" s="585">
        <v>259329.13</v>
      </c>
      <c r="D140" s="585">
        <v>259329.13</v>
      </c>
      <c r="E140" s="584" t="s">
        <v>156</v>
      </c>
      <c r="F140" s="584" t="s">
        <v>100</v>
      </c>
      <c r="G140" s="584" t="s">
        <v>1549</v>
      </c>
      <c r="H140" s="586" t="s">
        <v>100</v>
      </c>
      <c r="K140" s="553" t="s">
        <v>453</v>
      </c>
      <c r="L140" s="553" t="s">
        <v>454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</row>
    <row r="141" spans="1:20" ht="15">
      <c r="A141" s="579" t="s">
        <v>453</v>
      </c>
      <c r="B141" s="580" t="s">
        <v>454</v>
      </c>
      <c r="C141" s="581">
        <v>0</v>
      </c>
      <c r="D141" s="581">
        <v>0</v>
      </c>
      <c r="E141" s="580" t="s">
        <v>156</v>
      </c>
      <c r="F141" s="580" t="s">
        <v>100</v>
      </c>
      <c r="G141" s="580" t="s">
        <v>1549</v>
      </c>
      <c r="H141" s="582" t="s">
        <v>100</v>
      </c>
      <c r="K141" s="553" t="s">
        <v>455</v>
      </c>
      <c r="L141" s="553" t="s">
        <v>456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</row>
    <row r="142" spans="1:20" ht="15">
      <c r="A142" s="583" t="s">
        <v>455</v>
      </c>
      <c r="B142" s="584" t="s">
        <v>456</v>
      </c>
      <c r="C142" s="585">
        <v>0</v>
      </c>
      <c r="D142" s="585">
        <v>499.88</v>
      </c>
      <c r="E142" s="584" t="s">
        <v>156</v>
      </c>
      <c r="F142" s="584" t="s">
        <v>100</v>
      </c>
      <c r="G142" s="584" t="s">
        <v>1549</v>
      </c>
      <c r="H142" s="586" t="s">
        <v>100</v>
      </c>
      <c r="K142" s="553" t="s">
        <v>457</v>
      </c>
      <c r="L142" s="553" t="s">
        <v>1575</v>
      </c>
      <c r="M142" s="1">
        <v>46924.66</v>
      </c>
      <c r="N142" s="1">
        <v>4114.62</v>
      </c>
      <c r="O142" s="1">
        <v>0</v>
      </c>
      <c r="P142" s="1">
        <v>0</v>
      </c>
      <c r="Q142" s="1">
        <v>42810.04</v>
      </c>
      <c r="R142" s="1">
        <v>0</v>
      </c>
      <c r="S142" s="1">
        <v>0</v>
      </c>
    </row>
    <row r="143" spans="1:20" ht="15">
      <c r="A143" s="579" t="s">
        <v>457</v>
      </c>
      <c r="B143" s="580" t="s">
        <v>1575</v>
      </c>
      <c r="C143" s="581">
        <v>46924.66</v>
      </c>
      <c r="D143" s="581">
        <v>52549.03</v>
      </c>
      <c r="E143" s="580" t="s">
        <v>156</v>
      </c>
      <c r="F143" s="580" t="s">
        <v>100</v>
      </c>
      <c r="G143" s="580" t="s">
        <v>1549</v>
      </c>
      <c r="H143" s="582" t="s">
        <v>100</v>
      </c>
      <c r="K143" s="553" t="s">
        <v>459</v>
      </c>
      <c r="L143" s="553" t="s">
        <v>1576</v>
      </c>
      <c r="M143" s="1">
        <v>23307.4</v>
      </c>
      <c r="N143" s="1">
        <v>7814.9</v>
      </c>
      <c r="O143" s="1">
        <v>0</v>
      </c>
      <c r="P143" s="1">
        <v>0</v>
      </c>
      <c r="Q143" s="1">
        <v>15492.5</v>
      </c>
      <c r="R143" s="1">
        <v>0</v>
      </c>
      <c r="S143" s="1">
        <v>0</v>
      </c>
    </row>
    <row r="144" spans="1:20" ht="15">
      <c r="A144" s="583" t="s">
        <v>459</v>
      </c>
      <c r="B144" s="584" t="s">
        <v>1576</v>
      </c>
      <c r="C144" s="585">
        <v>23307.4</v>
      </c>
      <c r="D144" s="585">
        <v>23307.4</v>
      </c>
      <c r="E144" s="584" t="s">
        <v>156</v>
      </c>
      <c r="F144" s="584" t="s">
        <v>100</v>
      </c>
      <c r="G144" s="584" t="s">
        <v>1549</v>
      </c>
      <c r="H144" s="586" t="s">
        <v>100</v>
      </c>
      <c r="K144" s="553" t="s">
        <v>461</v>
      </c>
      <c r="L144" s="553" t="s">
        <v>1577</v>
      </c>
      <c r="M144" s="1">
        <v>752056.02</v>
      </c>
      <c r="N144" s="576">
        <v>172294.75</v>
      </c>
      <c r="O144" s="576">
        <v>40217.57</v>
      </c>
      <c r="P144" s="576">
        <v>15589.38</v>
      </c>
      <c r="Q144" s="576">
        <v>299140.98</v>
      </c>
      <c r="R144" s="576">
        <v>193563.34</v>
      </c>
      <c r="S144" s="576">
        <v>31250</v>
      </c>
      <c r="T144">
        <v>182640.7</v>
      </c>
    </row>
    <row r="145" spans="1:16" ht="15">
      <c r="A145" s="579" t="s">
        <v>461</v>
      </c>
      <c r="B145" s="580" t="s">
        <v>1577</v>
      </c>
      <c r="C145" s="581">
        <v>934696.72</v>
      </c>
      <c r="D145" s="581">
        <v>997412.22</v>
      </c>
      <c r="E145" s="580" t="s">
        <v>156</v>
      </c>
      <c r="F145" s="580" t="s">
        <v>100</v>
      </c>
      <c r="G145" s="580" t="s">
        <v>1550</v>
      </c>
      <c r="H145" s="582" t="s">
        <v>463</v>
      </c>
    </row>
    <row r="146" spans="1:16" ht="15">
      <c r="A146" s="583" t="s">
        <v>464</v>
      </c>
      <c r="B146" s="584" t="s">
        <v>465</v>
      </c>
      <c r="C146" s="585">
        <v>0</v>
      </c>
      <c r="D146" s="585">
        <v>0</v>
      </c>
      <c r="E146" s="584" t="s">
        <v>156</v>
      </c>
      <c r="F146" s="584" t="s">
        <v>100</v>
      </c>
      <c r="G146" s="584" t="s">
        <v>1548</v>
      </c>
      <c r="H146" s="586" t="s">
        <v>100</v>
      </c>
      <c r="K146" s="549" t="s">
        <v>432</v>
      </c>
      <c r="L146" s="549" t="s">
        <v>148</v>
      </c>
      <c r="M146" s="549" t="s">
        <v>433</v>
      </c>
      <c r="N146" s="549" t="s">
        <v>475</v>
      </c>
      <c r="O146" s="549" t="s">
        <v>476</v>
      </c>
      <c r="P146" s="549" t="s">
        <v>477</v>
      </c>
    </row>
    <row r="147" spans="1:16" ht="15">
      <c r="A147" s="579" t="s">
        <v>466</v>
      </c>
      <c r="B147" s="580" t="s">
        <v>467</v>
      </c>
      <c r="C147" s="581">
        <v>0</v>
      </c>
      <c r="D147" s="581">
        <v>0</v>
      </c>
      <c r="E147" s="580" t="s">
        <v>156</v>
      </c>
      <c r="F147" s="580" t="s">
        <v>100</v>
      </c>
      <c r="G147" s="580" t="s">
        <v>1548</v>
      </c>
      <c r="H147" s="582" t="s">
        <v>100</v>
      </c>
      <c r="K147" s="553" t="s">
        <v>468</v>
      </c>
      <c r="L147" s="553" t="s">
        <v>469</v>
      </c>
      <c r="M147" s="1">
        <v>0</v>
      </c>
      <c r="N147" s="1">
        <v>0</v>
      </c>
      <c r="O147" s="1">
        <v>0</v>
      </c>
      <c r="P147" s="1">
        <v>0</v>
      </c>
    </row>
    <row r="148" spans="1:16" ht="15">
      <c r="A148" s="583" t="s">
        <v>468</v>
      </c>
      <c r="B148" s="584" t="s">
        <v>469</v>
      </c>
      <c r="C148" s="585">
        <v>0</v>
      </c>
      <c r="D148" s="585">
        <v>0</v>
      </c>
      <c r="E148" s="584" t="s">
        <v>156</v>
      </c>
      <c r="F148" s="584" t="s">
        <v>100</v>
      </c>
      <c r="G148" s="584" t="s">
        <v>1548</v>
      </c>
      <c r="H148" s="586" t="s">
        <v>100</v>
      </c>
      <c r="K148" s="553" t="s">
        <v>470</v>
      </c>
      <c r="L148" s="553" t="s">
        <v>155</v>
      </c>
      <c r="M148" s="1">
        <v>0</v>
      </c>
      <c r="N148" s="1">
        <v>0</v>
      </c>
      <c r="O148" s="1">
        <v>0</v>
      </c>
      <c r="P148" s="1">
        <v>0</v>
      </c>
    </row>
    <row r="149" spans="1:16" ht="15">
      <c r="A149" s="579" t="s">
        <v>470</v>
      </c>
      <c r="B149" s="580" t="s">
        <v>155</v>
      </c>
      <c r="C149" s="581">
        <v>0</v>
      </c>
      <c r="D149" s="581">
        <v>0</v>
      </c>
      <c r="E149" s="580" t="s">
        <v>156</v>
      </c>
      <c r="F149" s="580" t="s">
        <v>100</v>
      </c>
      <c r="G149" s="580" t="s">
        <v>1548</v>
      </c>
      <c r="H149" s="582" t="s">
        <v>100</v>
      </c>
      <c r="K149" s="553" t="s">
        <v>471</v>
      </c>
      <c r="L149" s="553" t="s">
        <v>472</v>
      </c>
      <c r="M149" s="1">
        <v>-3282049.3</v>
      </c>
      <c r="N149" s="1">
        <v>-850198.66</v>
      </c>
      <c r="O149" s="1">
        <v>-2431850.64</v>
      </c>
      <c r="P149" s="1">
        <v>0</v>
      </c>
    </row>
    <row r="150" spans="1:16" ht="15">
      <c r="A150" s="583" t="s">
        <v>471</v>
      </c>
      <c r="B150" s="584" t="s">
        <v>472</v>
      </c>
      <c r="C150" s="585">
        <v>-3282049.3</v>
      </c>
      <c r="D150" s="585">
        <v>-3805057.3</v>
      </c>
      <c r="E150" s="584" t="s">
        <v>156</v>
      </c>
      <c r="F150" s="584" t="s">
        <v>100</v>
      </c>
      <c r="G150" s="584" t="s">
        <v>1549</v>
      </c>
      <c r="H150" s="586" t="s">
        <v>100</v>
      </c>
      <c r="K150" s="553" t="s">
        <v>473</v>
      </c>
      <c r="L150" s="553" t="s">
        <v>474</v>
      </c>
      <c r="M150" s="1">
        <v>-2368045</v>
      </c>
      <c r="N150" s="1">
        <v>-99360</v>
      </c>
      <c r="O150" s="1">
        <v>-2268685</v>
      </c>
      <c r="P150" s="1">
        <v>0</v>
      </c>
    </row>
    <row r="151" spans="1:16" ht="15">
      <c r="A151" s="579" t="s">
        <v>473</v>
      </c>
      <c r="B151" s="580" t="s">
        <v>474</v>
      </c>
      <c r="C151" s="581">
        <v>-2368045</v>
      </c>
      <c r="D151" s="581">
        <v>-2696315</v>
      </c>
      <c r="E151" s="580" t="s">
        <v>156</v>
      </c>
      <c r="F151" s="580" t="s">
        <v>100</v>
      </c>
      <c r="G151" s="580" t="s">
        <v>1549</v>
      </c>
      <c r="H151" s="582" t="s">
        <v>100</v>
      </c>
      <c r="K151" s="553" t="s">
        <v>478</v>
      </c>
      <c r="L151" s="553" t="s">
        <v>479</v>
      </c>
      <c r="M151" s="1">
        <v>248115.57</v>
      </c>
      <c r="N151" s="1">
        <v>43880.03</v>
      </c>
      <c r="O151" s="1">
        <v>193163.74</v>
      </c>
      <c r="P151" s="1">
        <v>11071.8</v>
      </c>
    </row>
    <row r="152" spans="1:16" ht="15">
      <c r="A152" s="583" t="s">
        <v>478</v>
      </c>
      <c r="B152" s="584" t="s">
        <v>479</v>
      </c>
      <c r="C152" s="585">
        <v>248115.57</v>
      </c>
      <c r="D152" s="585">
        <v>314051.36</v>
      </c>
      <c r="E152" s="584" t="s">
        <v>156</v>
      </c>
      <c r="F152" s="584" t="s">
        <v>100</v>
      </c>
      <c r="G152" s="584" t="s">
        <v>1549</v>
      </c>
      <c r="H152" s="586" t="s">
        <v>100</v>
      </c>
      <c r="K152" s="553" t="s">
        <v>480</v>
      </c>
      <c r="L152" s="553" t="s">
        <v>481</v>
      </c>
      <c r="M152" s="1">
        <v>-854740.67</v>
      </c>
      <c r="N152" s="1">
        <v>-38351.4</v>
      </c>
      <c r="O152" s="1">
        <v>-807258.9</v>
      </c>
      <c r="P152" s="1">
        <v>-9130.3700000000008</v>
      </c>
    </row>
    <row r="153" spans="1:16" ht="15">
      <c r="A153" s="579" t="s">
        <v>480</v>
      </c>
      <c r="B153" s="580" t="s">
        <v>481</v>
      </c>
      <c r="C153" s="581">
        <v>-854740.67</v>
      </c>
      <c r="D153" s="581">
        <v>-1094572.57</v>
      </c>
      <c r="E153" s="580" t="s">
        <v>156</v>
      </c>
      <c r="F153" s="580" t="s">
        <v>100</v>
      </c>
      <c r="G153" s="580" t="s">
        <v>1549</v>
      </c>
      <c r="H153" s="582" t="s">
        <v>100</v>
      </c>
      <c r="K153" s="553" t="s">
        <v>482</v>
      </c>
      <c r="L153" s="553" t="s">
        <v>278</v>
      </c>
      <c r="M153" s="1">
        <v>-6256719.4000000004</v>
      </c>
      <c r="N153" s="1">
        <v>-944030.03</v>
      </c>
      <c r="O153" s="1">
        <v>-5314630.8</v>
      </c>
      <c r="P153" s="1">
        <v>1941.43</v>
      </c>
    </row>
    <row r="154" spans="1:16" ht="15">
      <c r="A154" s="583" t="s">
        <v>482</v>
      </c>
      <c r="B154" s="584" t="s">
        <v>278</v>
      </c>
      <c r="C154" s="585">
        <v>-6256719.4000000004</v>
      </c>
      <c r="D154" s="585">
        <v>-7281893.5099999998</v>
      </c>
      <c r="E154" s="584" t="s">
        <v>156</v>
      </c>
      <c r="F154" s="584" t="s">
        <v>100</v>
      </c>
      <c r="G154" s="584" t="s">
        <v>1550</v>
      </c>
      <c r="H154" s="586" t="s">
        <v>483</v>
      </c>
      <c r="K154" s="553" t="s">
        <v>484</v>
      </c>
      <c r="L154" s="553" t="s">
        <v>485</v>
      </c>
      <c r="M154" s="1">
        <v>0</v>
      </c>
      <c r="N154" s="1">
        <v>0</v>
      </c>
      <c r="O154" s="1">
        <v>0</v>
      </c>
      <c r="P154" s="1">
        <v>0</v>
      </c>
    </row>
    <row r="155" spans="1:16" ht="15">
      <c r="A155" s="579" t="s">
        <v>484</v>
      </c>
      <c r="B155" s="580" t="s">
        <v>485</v>
      </c>
      <c r="C155" s="581">
        <v>0</v>
      </c>
      <c r="D155" s="581">
        <v>0</v>
      </c>
      <c r="E155" s="580" t="s">
        <v>156</v>
      </c>
      <c r="F155" s="580" t="s">
        <v>100</v>
      </c>
      <c r="G155" s="580" t="s">
        <v>1548</v>
      </c>
      <c r="H155" s="582" t="s">
        <v>100</v>
      </c>
      <c r="K155" s="553" t="s">
        <v>486</v>
      </c>
      <c r="L155" s="553" t="s">
        <v>487</v>
      </c>
      <c r="M155" s="1">
        <v>68968.289999999994</v>
      </c>
      <c r="N155" s="1">
        <v>28966.91</v>
      </c>
      <c r="O155" s="1">
        <v>40001.379999999997</v>
      </c>
      <c r="P155" s="1">
        <v>0</v>
      </c>
    </row>
    <row r="156" spans="1:16" ht="15">
      <c r="A156" s="583" t="s">
        <v>486</v>
      </c>
      <c r="B156" s="584" t="s">
        <v>487</v>
      </c>
      <c r="C156" s="585">
        <v>68968.289999999994</v>
      </c>
      <c r="D156" s="585">
        <v>83709.97</v>
      </c>
      <c r="E156" s="584" t="s">
        <v>156</v>
      </c>
      <c r="F156" s="584" t="s">
        <v>100</v>
      </c>
      <c r="G156" s="584" t="s">
        <v>1549</v>
      </c>
      <c r="H156" s="586" t="s">
        <v>100</v>
      </c>
      <c r="K156" s="553" t="s">
        <v>488</v>
      </c>
      <c r="L156" s="553" t="s">
        <v>489</v>
      </c>
      <c r="M156" s="1">
        <v>261749.01</v>
      </c>
      <c r="N156" s="1">
        <v>234225.2</v>
      </c>
      <c r="O156" s="1">
        <v>27523.81</v>
      </c>
      <c r="P156" s="1">
        <v>0</v>
      </c>
    </row>
    <row r="157" spans="1:16" ht="15">
      <c r="A157" s="579" t="s">
        <v>488</v>
      </c>
      <c r="B157" s="580" t="s">
        <v>489</v>
      </c>
      <c r="C157" s="581">
        <v>261749.01</v>
      </c>
      <c r="D157" s="581">
        <v>261749.01</v>
      </c>
      <c r="E157" s="580" t="s">
        <v>156</v>
      </c>
      <c r="F157" s="580" t="s">
        <v>100</v>
      </c>
      <c r="G157" s="580" t="s">
        <v>1549</v>
      </c>
      <c r="H157" s="582" t="s">
        <v>100</v>
      </c>
      <c r="K157" s="553" t="s">
        <v>490</v>
      </c>
      <c r="L157" s="553" t="s">
        <v>491</v>
      </c>
      <c r="M157" s="1">
        <v>85402.11</v>
      </c>
      <c r="N157" s="1">
        <v>66468.639999999999</v>
      </c>
      <c r="O157" s="1">
        <v>18933.47</v>
      </c>
      <c r="P157" s="1">
        <v>0</v>
      </c>
    </row>
    <row r="158" spans="1:16" ht="15">
      <c r="A158" s="583" t="s">
        <v>490</v>
      </c>
      <c r="B158" s="584" t="s">
        <v>491</v>
      </c>
      <c r="C158" s="585">
        <v>85402.11</v>
      </c>
      <c r="D158" s="585">
        <v>85502.11</v>
      </c>
      <c r="E158" s="584" t="s">
        <v>156</v>
      </c>
      <c r="F158" s="584" t="s">
        <v>100</v>
      </c>
      <c r="G158" s="584" t="s">
        <v>1549</v>
      </c>
      <c r="H158" s="586" t="s">
        <v>100</v>
      </c>
      <c r="K158" s="553" t="s">
        <v>492</v>
      </c>
      <c r="L158" s="553" t="s">
        <v>493</v>
      </c>
      <c r="M158" s="1">
        <v>-1947.92</v>
      </c>
      <c r="N158" s="1">
        <v>-1947.92</v>
      </c>
      <c r="O158" s="1">
        <v>0</v>
      </c>
      <c r="P158" s="1">
        <v>0</v>
      </c>
    </row>
    <row r="159" spans="1:16" ht="15">
      <c r="A159" s="579" t="s">
        <v>492</v>
      </c>
      <c r="B159" s="580" t="s">
        <v>493</v>
      </c>
      <c r="C159" s="581">
        <v>-1947.92</v>
      </c>
      <c r="D159" s="581">
        <v>-1947.92</v>
      </c>
      <c r="E159" s="580" t="s">
        <v>156</v>
      </c>
      <c r="F159" s="580" t="s">
        <v>100</v>
      </c>
      <c r="G159" s="580" t="s">
        <v>1549</v>
      </c>
      <c r="H159" s="582" t="s">
        <v>100</v>
      </c>
      <c r="K159" s="553" t="s">
        <v>494</v>
      </c>
      <c r="L159" s="553" t="s">
        <v>495</v>
      </c>
      <c r="M159" s="1">
        <v>134986.73000000001</v>
      </c>
      <c r="N159" s="1">
        <v>50084.62</v>
      </c>
      <c r="O159" s="1">
        <v>84902.11</v>
      </c>
      <c r="P159" s="1">
        <v>0</v>
      </c>
    </row>
    <row r="160" spans="1:16" ht="15">
      <c r="A160" s="583" t="s">
        <v>494</v>
      </c>
      <c r="B160" s="584" t="s">
        <v>495</v>
      </c>
      <c r="C160" s="585">
        <v>134986.73000000001</v>
      </c>
      <c r="D160" s="585">
        <v>139487.53</v>
      </c>
      <c r="E160" s="584" t="s">
        <v>156</v>
      </c>
      <c r="F160" s="584" t="s">
        <v>100</v>
      </c>
      <c r="G160" s="584" t="s">
        <v>1549</v>
      </c>
      <c r="H160" s="586" t="s">
        <v>100</v>
      </c>
      <c r="K160" s="553" t="s">
        <v>496</v>
      </c>
      <c r="L160" s="553" t="s">
        <v>497</v>
      </c>
      <c r="M160" s="1">
        <v>647454.88</v>
      </c>
      <c r="N160" s="1">
        <v>133120.67000000001</v>
      </c>
      <c r="O160" s="1">
        <v>512941.41</v>
      </c>
      <c r="P160" s="1">
        <v>1392.8</v>
      </c>
    </row>
    <row r="161" spans="1:16" ht="15">
      <c r="A161" s="579" t="s">
        <v>496</v>
      </c>
      <c r="B161" s="580" t="s">
        <v>497</v>
      </c>
      <c r="C161" s="581">
        <v>647454.88</v>
      </c>
      <c r="D161" s="581">
        <v>693412.72</v>
      </c>
      <c r="E161" s="580" t="s">
        <v>156</v>
      </c>
      <c r="F161" s="580" t="s">
        <v>100</v>
      </c>
      <c r="G161" s="580" t="s">
        <v>1549</v>
      </c>
      <c r="H161" s="582" t="s">
        <v>100</v>
      </c>
      <c r="K161" s="553" t="s">
        <v>1578</v>
      </c>
      <c r="L161" s="553" t="s">
        <v>1579</v>
      </c>
      <c r="M161" s="1">
        <v>53466.15</v>
      </c>
      <c r="N161" s="1">
        <v>53466.15</v>
      </c>
      <c r="O161" s="1">
        <v>0</v>
      </c>
      <c r="P161" s="1">
        <v>0</v>
      </c>
    </row>
    <row r="162" spans="1:16" ht="15">
      <c r="A162" s="583" t="s">
        <v>1578</v>
      </c>
      <c r="B162" s="584" t="s">
        <v>1579</v>
      </c>
      <c r="C162" s="585">
        <v>53466.15</v>
      </c>
      <c r="D162" s="585">
        <v>53466.15</v>
      </c>
      <c r="E162" s="584" t="s">
        <v>156</v>
      </c>
      <c r="F162" s="584" t="s">
        <v>100</v>
      </c>
      <c r="G162" s="584" t="s">
        <v>1549</v>
      </c>
      <c r="H162" s="586" t="s">
        <v>100</v>
      </c>
      <c r="K162" s="553" t="s">
        <v>498</v>
      </c>
      <c r="L162" s="553" t="s">
        <v>499</v>
      </c>
      <c r="M162" s="1">
        <v>-17645.32</v>
      </c>
      <c r="N162" s="1">
        <v>0</v>
      </c>
      <c r="O162" s="1">
        <v>-16819.2</v>
      </c>
      <c r="P162" s="1">
        <v>-826.12</v>
      </c>
    </row>
    <row r="163" spans="1:16" ht="15">
      <c r="A163" s="579" t="s">
        <v>498</v>
      </c>
      <c r="B163" s="580" t="s">
        <v>499</v>
      </c>
      <c r="C163" s="581">
        <v>-17645.32</v>
      </c>
      <c r="D163" s="581">
        <v>-17645.32</v>
      </c>
      <c r="E163" s="580" t="s">
        <v>156</v>
      </c>
      <c r="F163" s="580" t="s">
        <v>100</v>
      </c>
      <c r="G163" s="580" t="s">
        <v>1549</v>
      </c>
      <c r="H163" s="582" t="s">
        <v>100</v>
      </c>
      <c r="K163" s="553" t="s">
        <v>500</v>
      </c>
      <c r="L163" s="553" t="s">
        <v>501</v>
      </c>
      <c r="M163" s="1">
        <v>49307.39</v>
      </c>
      <c r="N163" s="1">
        <v>0</v>
      </c>
      <c r="O163" s="1">
        <v>49307.39</v>
      </c>
      <c r="P163" s="1">
        <v>0</v>
      </c>
    </row>
    <row r="164" spans="1:16" ht="15">
      <c r="A164" s="583" t="s">
        <v>500</v>
      </c>
      <c r="B164" s="584" t="s">
        <v>501</v>
      </c>
      <c r="C164" s="585">
        <v>49307.39</v>
      </c>
      <c r="D164" s="585">
        <v>49307.39</v>
      </c>
      <c r="E164" s="584" t="s">
        <v>156</v>
      </c>
      <c r="F164" s="584" t="s">
        <v>100</v>
      </c>
      <c r="G164" s="584" t="s">
        <v>1549</v>
      </c>
      <c r="H164" s="586" t="s">
        <v>100</v>
      </c>
      <c r="K164" s="553" t="s">
        <v>502</v>
      </c>
      <c r="L164" s="553" t="s">
        <v>503</v>
      </c>
      <c r="M164" s="1">
        <v>1281741.32</v>
      </c>
      <c r="N164" s="1">
        <v>564384.27</v>
      </c>
      <c r="O164" s="1">
        <v>716790.37</v>
      </c>
      <c r="P164" s="1">
        <v>566.67999999999995</v>
      </c>
    </row>
    <row r="165" spans="1:16" ht="15">
      <c r="A165" s="579" t="s">
        <v>502</v>
      </c>
      <c r="B165" s="580" t="s">
        <v>503</v>
      </c>
      <c r="C165" s="581">
        <v>1281741.32</v>
      </c>
      <c r="D165" s="581">
        <v>1347041.64</v>
      </c>
      <c r="E165" s="580" t="s">
        <v>156</v>
      </c>
      <c r="F165" s="580" t="s">
        <v>100</v>
      </c>
      <c r="G165" s="580" t="s">
        <v>1550</v>
      </c>
      <c r="H165" s="582" t="s">
        <v>504</v>
      </c>
      <c r="K165" s="553" t="s">
        <v>505</v>
      </c>
      <c r="L165" s="553" t="s">
        <v>284</v>
      </c>
      <c r="M165" s="1">
        <v>0</v>
      </c>
      <c r="N165" s="1">
        <v>0</v>
      </c>
      <c r="O165" s="1">
        <v>0</v>
      </c>
      <c r="P165" s="1">
        <v>0</v>
      </c>
    </row>
    <row r="166" spans="1:16" ht="15">
      <c r="A166" s="583" t="s">
        <v>505</v>
      </c>
      <c r="B166" s="584" t="s">
        <v>284</v>
      </c>
      <c r="C166" s="585">
        <v>0</v>
      </c>
      <c r="D166" s="585">
        <v>0</v>
      </c>
      <c r="E166" s="584" t="s">
        <v>156</v>
      </c>
      <c r="F166" s="584" t="s">
        <v>100</v>
      </c>
      <c r="G166" s="584" t="s">
        <v>1548</v>
      </c>
      <c r="H166" s="586" t="s">
        <v>100</v>
      </c>
      <c r="K166" s="553" t="s">
        <v>506</v>
      </c>
      <c r="L166" s="553" t="s">
        <v>507</v>
      </c>
      <c r="M166" s="1">
        <v>1884010.45</v>
      </c>
      <c r="N166" s="1">
        <v>217424.72</v>
      </c>
      <c r="O166" s="1">
        <v>1666585.73</v>
      </c>
      <c r="P166" s="1">
        <v>0</v>
      </c>
    </row>
    <row r="167" spans="1:16" ht="15">
      <c r="A167" s="579" t="s">
        <v>506</v>
      </c>
      <c r="B167" s="580" t="s">
        <v>507</v>
      </c>
      <c r="C167" s="581">
        <v>1884010.45</v>
      </c>
      <c r="D167" s="581">
        <v>2091556.05</v>
      </c>
      <c r="E167" s="580" t="s">
        <v>156</v>
      </c>
      <c r="F167" s="580" t="s">
        <v>100</v>
      </c>
      <c r="G167" s="580" t="s">
        <v>1549</v>
      </c>
      <c r="H167" s="582" t="s">
        <v>100</v>
      </c>
      <c r="K167" s="553" t="s">
        <v>508</v>
      </c>
      <c r="L167" s="553" t="s">
        <v>300</v>
      </c>
      <c r="M167" s="1">
        <v>51552.7</v>
      </c>
      <c r="N167" s="1">
        <v>16390.55</v>
      </c>
      <c r="O167" s="1">
        <v>35162.15</v>
      </c>
      <c r="P167" s="1">
        <v>0</v>
      </c>
    </row>
    <row r="168" spans="1:16" ht="15">
      <c r="A168" s="583" t="s">
        <v>508</v>
      </c>
      <c r="B168" s="584" t="s">
        <v>300</v>
      </c>
      <c r="C168" s="585">
        <v>51552.7</v>
      </c>
      <c r="D168" s="585">
        <v>55354.32</v>
      </c>
      <c r="E168" s="584" t="s">
        <v>156</v>
      </c>
      <c r="F168" s="584" t="s">
        <v>100</v>
      </c>
      <c r="G168" s="584" t="s">
        <v>1549</v>
      </c>
      <c r="H168" s="586" t="s">
        <v>100</v>
      </c>
      <c r="K168" s="553" t="s">
        <v>509</v>
      </c>
      <c r="L168" s="553" t="s">
        <v>294</v>
      </c>
      <c r="M168" s="1">
        <v>-5859.15</v>
      </c>
      <c r="N168" s="1">
        <v>0</v>
      </c>
      <c r="O168" s="1">
        <v>-5859.15</v>
      </c>
      <c r="P168" s="1">
        <v>0</v>
      </c>
    </row>
    <row r="169" spans="1:16" ht="15">
      <c r="A169" s="579" t="s">
        <v>509</v>
      </c>
      <c r="B169" s="580" t="s">
        <v>294</v>
      </c>
      <c r="C169" s="581">
        <v>-5859.15</v>
      </c>
      <c r="D169" s="581">
        <v>-10546.46</v>
      </c>
      <c r="E169" s="580" t="s">
        <v>156</v>
      </c>
      <c r="F169" s="580" t="s">
        <v>100</v>
      </c>
      <c r="G169" s="580" t="s">
        <v>1549</v>
      </c>
      <c r="H169" s="582" t="s">
        <v>100</v>
      </c>
      <c r="K169" s="553" t="s">
        <v>510</v>
      </c>
      <c r="L169" s="553" t="s">
        <v>511</v>
      </c>
      <c r="M169" s="1">
        <v>113663.21</v>
      </c>
      <c r="N169" s="1">
        <v>10476.64</v>
      </c>
      <c r="O169" s="1">
        <v>103186.57</v>
      </c>
      <c r="P169" s="1">
        <v>0</v>
      </c>
    </row>
    <row r="170" spans="1:16" ht="15">
      <c r="A170" s="583" t="s">
        <v>510</v>
      </c>
      <c r="B170" s="584" t="s">
        <v>511</v>
      </c>
      <c r="C170" s="585">
        <v>113663.21</v>
      </c>
      <c r="D170" s="585">
        <v>125822.18</v>
      </c>
      <c r="E170" s="584" t="s">
        <v>156</v>
      </c>
      <c r="F170" s="584" t="s">
        <v>100</v>
      </c>
      <c r="G170" s="584" t="s">
        <v>1549</v>
      </c>
      <c r="H170" s="586" t="s">
        <v>100</v>
      </c>
      <c r="K170" s="553" t="s">
        <v>512</v>
      </c>
      <c r="L170" s="553" t="s">
        <v>513</v>
      </c>
      <c r="M170" s="1">
        <v>205408.77</v>
      </c>
      <c r="N170" s="1">
        <v>23748.71</v>
      </c>
      <c r="O170" s="1">
        <v>181660.06</v>
      </c>
      <c r="P170" s="1">
        <v>0</v>
      </c>
    </row>
    <row r="171" spans="1:16" ht="15">
      <c r="A171" s="579" t="s">
        <v>512</v>
      </c>
      <c r="B171" s="580" t="s">
        <v>513</v>
      </c>
      <c r="C171" s="581">
        <v>205408.77</v>
      </c>
      <c r="D171" s="581">
        <v>228115.9</v>
      </c>
      <c r="E171" s="580" t="s">
        <v>156</v>
      </c>
      <c r="F171" s="580" t="s">
        <v>100</v>
      </c>
      <c r="G171" s="580" t="s">
        <v>1549</v>
      </c>
      <c r="H171" s="582" t="s">
        <v>100</v>
      </c>
      <c r="K171" s="553" t="s">
        <v>514</v>
      </c>
      <c r="L171" s="553" t="s">
        <v>515</v>
      </c>
      <c r="M171" s="1">
        <v>-24478.58</v>
      </c>
      <c r="N171" s="1">
        <v>-25462.05</v>
      </c>
      <c r="O171" s="1">
        <v>983.47</v>
      </c>
      <c r="P171" s="1">
        <v>0</v>
      </c>
    </row>
    <row r="172" spans="1:16" ht="15">
      <c r="A172" s="583" t="s">
        <v>514</v>
      </c>
      <c r="B172" s="584" t="s">
        <v>515</v>
      </c>
      <c r="C172" s="585">
        <v>-24478.58</v>
      </c>
      <c r="D172" s="585">
        <v>-19941.939999999999</v>
      </c>
      <c r="E172" s="584" t="s">
        <v>156</v>
      </c>
      <c r="F172" s="584" t="s">
        <v>100</v>
      </c>
      <c r="G172" s="584" t="s">
        <v>1549</v>
      </c>
      <c r="H172" s="586" t="s">
        <v>100</v>
      </c>
      <c r="K172" s="553" t="s">
        <v>516</v>
      </c>
      <c r="L172" s="553" t="s">
        <v>306</v>
      </c>
      <c r="M172" s="1">
        <v>20259.419999999998</v>
      </c>
      <c r="N172" s="1">
        <v>7384.26</v>
      </c>
      <c r="O172" s="1">
        <v>12875.16</v>
      </c>
      <c r="P172" s="1">
        <v>0</v>
      </c>
    </row>
    <row r="173" spans="1:16" ht="15">
      <c r="A173" s="579" t="s">
        <v>516</v>
      </c>
      <c r="B173" s="580" t="s">
        <v>306</v>
      </c>
      <c r="C173" s="581">
        <v>20259.419999999998</v>
      </c>
      <c r="D173" s="581">
        <v>22531.5</v>
      </c>
      <c r="E173" s="580" t="s">
        <v>156</v>
      </c>
      <c r="F173" s="580" t="s">
        <v>100</v>
      </c>
      <c r="G173" s="580" t="s">
        <v>1549</v>
      </c>
      <c r="H173" s="582" t="s">
        <v>100</v>
      </c>
      <c r="K173" s="553" t="s">
        <v>517</v>
      </c>
      <c r="L173" s="553" t="s">
        <v>317</v>
      </c>
      <c r="M173" s="1">
        <v>35053.81</v>
      </c>
      <c r="N173" s="1">
        <v>0</v>
      </c>
      <c r="O173" s="1">
        <v>35053.81</v>
      </c>
      <c r="P173" s="1">
        <v>0</v>
      </c>
    </row>
    <row r="174" spans="1:16" ht="15">
      <c r="A174" s="583" t="s">
        <v>517</v>
      </c>
      <c r="B174" s="584" t="s">
        <v>317</v>
      </c>
      <c r="C174" s="585">
        <v>35053.81</v>
      </c>
      <c r="D174" s="585">
        <v>38065.14</v>
      </c>
      <c r="E174" s="584" t="s">
        <v>156</v>
      </c>
      <c r="F174" s="584" t="s">
        <v>100</v>
      </c>
      <c r="G174" s="584" t="s">
        <v>1549</v>
      </c>
      <c r="H174" s="586" t="s">
        <v>100</v>
      </c>
      <c r="K174" s="553" t="s">
        <v>518</v>
      </c>
      <c r="L174" s="553" t="s">
        <v>519</v>
      </c>
      <c r="M174" s="1">
        <v>91249.04</v>
      </c>
      <c r="N174" s="1">
        <v>7848.15</v>
      </c>
      <c r="O174" s="1">
        <v>81438.039999999994</v>
      </c>
      <c r="P174" s="1">
        <v>1962.85</v>
      </c>
    </row>
    <row r="175" spans="1:16" ht="15">
      <c r="A175" s="579" t="s">
        <v>518</v>
      </c>
      <c r="B175" s="580" t="s">
        <v>519</v>
      </c>
      <c r="C175" s="581">
        <v>91249.04</v>
      </c>
      <c r="D175" s="581">
        <v>110540.47</v>
      </c>
      <c r="E175" s="580" t="s">
        <v>156</v>
      </c>
      <c r="F175" s="580" t="s">
        <v>100</v>
      </c>
      <c r="G175" s="580" t="s">
        <v>1549</v>
      </c>
      <c r="H175" s="582" t="s">
        <v>100</v>
      </c>
      <c r="K175" s="553" t="s">
        <v>520</v>
      </c>
      <c r="L175" s="553" t="s">
        <v>1558</v>
      </c>
      <c r="M175" s="1">
        <v>0</v>
      </c>
      <c r="N175" s="1">
        <v>0</v>
      </c>
      <c r="O175" s="1">
        <v>0</v>
      </c>
      <c r="P175" s="1">
        <v>0</v>
      </c>
    </row>
    <row r="176" spans="1:16" ht="15">
      <c r="A176" s="583" t="s">
        <v>520</v>
      </c>
      <c r="B176" s="584" t="s">
        <v>1558</v>
      </c>
      <c r="C176" s="585">
        <v>0</v>
      </c>
      <c r="D176" s="585">
        <v>0</v>
      </c>
      <c r="E176" s="584" t="s">
        <v>156</v>
      </c>
      <c r="F176" s="584" t="s">
        <v>100</v>
      </c>
      <c r="G176" s="584" t="s">
        <v>1549</v>
      </c>
      <c r="H176" s="586" t="s">
        <v>100</v>
      </c>
      <c r="K176" s="553" t="s">
        <v>522</v>
      </c>
      <c r="L176" s="553" t="s">
        <v>216</v>
      </c>
      <c r="M176" s="1">
        <v>0</v>
      </c>
      <c r="N176" s="1">
        <v>0</v>
      </c>
      <c r="O176" s="1">
        <v>0</v>
      </c>
      <c r="P176" s="1">
        <v>0</v>
      </c>
    </row>
    <row r="177" spans="1:16" ht="15">
      <c r="A177" s="579" t="s">
        <v>522</v>
      </c>
      <c r="B177" s="580" t="s">
        <v>216</v>
      </c>
      <c r="C177" s="581">
        <v>0</v>
      </c>
      <c r="D177" s="581">
        <v>0</v>
      </c>
      <c r="E177" s="580" t="s">
        <v>156</v>
      </c>
      <c r="F177" s="580" t="s">
        <v>100</v>
      </c>
      <c r="G177" s="580" t="s">
        <v>1549</v>
      </c>
      <c r="H177" s="582" t="s">
        <v>100</v>
      </c>
      <c r="K177" s="553" t="s">
        <v>523</v>
      </c>
      <c r="L177" s="553" t="s">
        <v>524</v>
      </c>
      <c r="M177" s="1">
        <v>-7000</v>
      </c>
      <c r="N177" s="1">
        <v>-250</v>
      </c>
      <c r="O177" s="1">
        <v>-6750</v>
      </c>
      <c r="P177" s="1">
        <v>0</v>
      </c>
    </row>
    <row r="178" spans="1:16" ht="15">
      <c r="A178" s="583" t="s">
        <v>523</v>
      </c>
      <c r="B178" s="584" t="s">
        <v>524</v>
      </c>
      <c r="C178" s="585">
        <v>-7000</v>
      </c>
      <c r="D178" s="585">
        <v>-7750</v>
      </c>
      <c r="E178" s="584" t="s">
        <v>156</v>
      </c>
      <c r="F178" s="584" t="s">
        <v>100</v>
      </c>
      <c r="G178" s="584" t="s">
        <v>1549</v>
      </c>
      <c r="H178" s="586" t="s">
        <v>100</v>
      </c>
      <c r="K178" s="553" t="s">
        <v>525</v>
      </c>
      <c r="L178" s="553" t="s">
        <v>526</v>
      </c>
      <c r="M178" s="1">
        <v>-88665.24</v>
      </c>
      <c r="N178" s="1">
        <v>86969.48</v>
      </c>
      <c r="O178" s="1">
        <v>-175634.72</v>
      </c>
      <c r="P178" s="1">
        <v>0</v>
      </c>
    </row>
    <row r="179" spans="1:16" ht="15">
      <c r="A179" s="579" t="s">
        <v>525</v>
      </c>
      <c r="B179" s="580" t="s">
        <v>526</v>
      </c>
      <c r="C179" s="581">
        <v>-88664.74</v>
      </c>
      <c r="D179" s="581">
        <v>-117282.31</v>
      </c>
      <c r="E179" s="580" t="s">
        <v>156</v>
      </c>
      <c r="F179" s="580" t="s">
        <v>100</v>
      </c>
      <c r="G179" s="580" t="s">
        <v>1549</v>
      </c>
      <c r="H179" s="582" t="s">
        <v>100</v>
      </c>
      <c r="K179" s="553" t="s">
        <v>527</v>
      </c>
      <c r="L179" s="553" t="s">
        <v>341</v>
      </c>
      <c r="M179" s="1">
        <v>2275194.4300000002</v>
      </c>
      <c r="N179" s="1">
        <v>344530.46</v>
      </c>
      <c r="O179" s="1">
        <v>1928701.12</v>
      </c>
      <c r="P179" s="1">
        <v>1962.85</v>
      </c>
    </row>
    <row r="180" spans="1:16" ht="15">
      <c r="A180" s="583" t="s">
        <v>527</v>
      </c>
      <c r="B180" s="584" t="s">
        <v>341</v>
      </c>
      <c r="C180" s="585">
        <v>2275194.9300000002</v>
      </c>
      <c r="D180" s="585">
        <v>2516464.85</v>
      </c>
      <c r="E180" s="584" t="s">
        <v>156</v>
      </c>
      <c r="F180" s="584" t="s">
        <v>100</v>
      </c>
      <c r="G180" s="584" t="s">
        <v>1550</v>
      </c>
      <c r="H180" s="586" t="s">
        <v>528</v>
      </c>
      <c r="K180" s="553" t="s">
        <v>529</v>
      </c>
      <c r="L180" s="553" t="s">
        <v>530</v>
      </c>
      <c r="M180" s="1">
        <v>0</v>
      </c>
      <c r="N180" s="1">
        <v>0</v>
      </c>
      <c r="O180" s="1">
        <v>0</v>
      </c>
      <c r="P180" s="1">
        <v>0</v>
      </c>
    </row>
    <row r="181" spans="1:16" ht="15">
      <c r="A181" s="579" t="s">
        <v>529</v>
      </c>
      <c r="B181" s="580" t="s">
        <v>530</v>
      </c>
      <c r="C181" s="581">
        <v>0</v>
      </c>
      <c r="D181" s="581">
        <v>0</v>
      </c>
      <c r="E181" s="580" t="s">
        <v>156</v>
      </c>
      <c r="F181" s="580" t="s">
        <v>100</v>
      </c>
      <c r="G181" s="580" t="s">
        <v>1548</v>
      </c>
      <c r="H181" s="582" t="s">
        <v>100</v>
      </c>
      <c r="K181" s="553" t="s">
        <v>531</v>
      </c>
      <c r="L181" s="553" t="s">
        <v>532</v>
      </c>
      <c r="M181" s="1">
        <v>8279.9699999999993</v>
      </c>
      <c r="N181" s="1">
        <v>2324.33</v>
      </c>
      <c r="O181" s="1">
        <v>5955.64</v>
      </c>
      <c r="P181" s="1">
        <v>0</v>
      </c>
    </row>
    <row r="182" spans="1:16" ht="15">
      <c r="A182" s="583" t="s">
        <v>531</v>
      </c>
      <c r="B182" s="584" t="s">
        <v>532</v>
      </c>
      <c r="C182" s="585">
        <v>8279.9699999999993</v>
      </c>
      <c r="D182" s="585">
        <v>8461.9699999999993</v>
      </c>
      <c r="E182" s="584" t="s">
        <v>156</v>
      </c>
      <c r="F182" s="584" t="s">
        <v>100</v>
      </c>
      <c r="G182" s="584" t="s">
        <v>1549</v>
      </c>
      <c r="H182" s="586" t="s">
        <v>100</v>
      </c>
      <c r="K182" s="553" t="s">
        <v>533</v>
      </c>
      <c r="L182" s="553" t="s">
        <v>534</v>
      </c>
      <c r="M182" s="1">
        <v>11206.76</v>
      </c>
      <c r="N182" s="1">
        <v>0</v>
      </c>
      <c r="O182" s="1">
        <v>11206.76</v>
      </c>
      <c r="P182" s="1">
        <v>0</v>
      </c>
    </row>
    <row r="183" spans="1:16" ht="15">
      <c r="A183" s="579" t="s">
        <v>533</v>
      </c>
      <c r="B183" s="580" t="s">
        <v>534</v>
      </c>
      <c r="C183" s="581">
        <v>11206.76</v>
      </c>
      <c r="D183" s="581">
        <v>13401.63</v>
      </c>
      <c r="E183" s="580" t="s">
        <v>156</v>
      </c>
      <c r="F183" s="580" t="s">
        <v>100</v>
      </c>
      <c r="G183" s="580" t="s">
        <v>1549</v>
      </c>
      <c r="H183" s="582" t="s">
        <v>100</v>
      </c>
      <c r="K183" s="553" t="s">
        <v>535</v>
      </c>
      <c r="L183" s="553" t="s">
        <v>536</v>
      </c>
      <c r="M183" s="1">
        <v>12340.23</v>
      </c>
      <c r="N183" s="1">
        <v>0</v>
      </c>
      <c r="O183" s="1">
        <v>12340.23</v>
      </c>
      <c r="P183" s="1">
        <v>0</v>
      </c>
    </row>
    <row r="184" spans="1:16" ht="15">
      <c r="A184" s="583" t="s">
        <v>535</v>
      </c>
      <c r="B184" s="584" t="s">
        <v>536</v>
      </c>
      <c r="C184" s="585">
        <v>12340.23</v>
      </c>
      <c r="D184" s="585">
        <v>12340.23</v>
      </c>
      <c r="E184" s="584" t="s">
        <v>156</v>
      </c>
      <c r="F184" s="584" t="s">
        <v>100</v>
      </c>
      <c r="G184" s="584" t="s">
        <v>1549</v>
      </c>
      <c r="H184" s="586" t="s">
        <v>100</v>
      </c>
      <c r="K184" s="553" t="s">
        <v>537</v>
      </c>
      <c r="L184" s="553" t="s">
        <v>538</v>
      </c>
      <c r="M184" s="1">
        <v>0</v>
      </c>
      <c r="N184" s="1">
        <v>0</v>
      </c>
      <c r="O184" s="1">
        <v>0</v>
      </c>
      <c r="P184" s="1">
        <v>0</v>
      </c>
    </row>
    <row r="185" spans="1:16" ht="15">
      <c r="A185" s="579" t="s">
        <v>537</v>
      </c>
      <c r="B185" s="580" t="s">
        <v>538</v>
      </c>
      <c r="C185" s="581">
        <v>0</v>
      </c>
      <c r="D185" s="581">
        <v>0</v>
      </c>
      <c r="E185" s="580" t="s">
        <v>156</v>
      </c>
      <c r="F185" s="580" t="s">
        <v>100</v>
      </c>
      <c r="G185" s="580" t="s">
        <v>1549</v>
      </c>
      <c r="H185" s="582" t="s">
        <v>100</v>
      </c>
      <c r="K185" s="553" t="s">
        <v>539</v>
      </c>
      <c r="L185" s="553" t="s">
        <v>540</v>
      </c>
      <c r="M185" s="1">
        <v>299151.23</v>
      </c>
      <c r="N185" s="1">
        <v>112101.08</v>
      </c>
      <c r="O185" s="1">
        <v>187050.15</v>
      </c>
      <c r="P185" s="1">
        <v>0</v>
      </c>
    </row>
    <row r="186" spans="1:16" ht="15">
      <c r="A186" s="583" t="s">
        <v>539</v>
      </c>
      <c r="B186" s="584" t="s">
        <v>540</v>
      </c>
      <c r="C186" s="585">
        <v>299151.23</v>
      </c>
      <c r="D186" s="585">
        <v>299151.23</v>
      </c>
      <c r="E186" s="584" t="s">
        <v>156</v>
      </c>
      <c r="F186" s="584" t="s">
        <v>100</v>
      </c>
      <c r="G186" s="584" t="s">
        <v>1549</v>
      </c>
      <c r="H186" s="586" t="s">
        <v>100</v>
      </c>
      <c r="K186" s="553" t="s">
        <v>541</v>
      </c>
      <c r="L186" s="553" t="s">
        <v>542</v>
      </c>
      <c r="M186" s="1">
        <v>8645.18</v>
      </c>
      <c r="N186" s="1">
        <v>0</v>
      </c>
      <c r="O186" s="1">
        <v>8645.18</v>
      </c>
      <c r="P186" s="1">
        <v>0</v>
      </c>
    </row>
    <row r="187" spans="1:16" ht="15">
      <c r="A187" s="579" t="s">
        <v>541</v>
      </c>
      <c r="B187" s="580" t="s">
        <v>542</v>
      </c>
      <c r="C187" s="581">
        <v>8645.18</v>
      </c>
      <c r="D187" s="581">
        <v>8645.18</v>
      </c>
      <c r="E187" s="580" t="s">
        <v>156</v>
      </c>
      <c r="F187" s="580" t="s">
        <v>100</v>
      </c>
      <c r="G187" s="580" t="s">
        <v>1549</v>
      </c>
      <c r="H187" s="582" t="s">
        <v>100</v>
      </c>
      <c r="K187" s="553" t="s">
        <v>543</v>
      </c>
      <c r="L187" s="553" t="s">
        <v>544</v>
      </c>
      <c r="M187" s="1">
        <v>8179.5</v>
      </c>
      <c r="N187" s="1">
        <v>3585.5</v>
      </c>
      <c r="O187" s="1">
        <v>4594</v>
      </c>
      <c r="P187" s="1">
        <v>0</v>
      </c>
    </row>
    <row r="188" spans="1:16" ht="15">
      <c r="A188" s="583" t="s">
        <v>543</v>
      </c>
      <c r="B188" s="584" t="s">
        <v>544</v>
      </c>
      <c r="C188" s="585">
        <v>8179.5</v>
      </c>
      <c r="D188" s="585">
        <v>8179.5</v>
      </c>
      <c r="E188" s="584" t="s">
        <v>156</v>
      </c>
      <c r="F188" s="584" t="s">
        <v>100</v>
      </c>
      <c r="G188" s="584" t="s">
        <v>1549</v>
      </c>
      <c r="H188" s="586" t="s">
        <v>100</v>
      </c>
      <c r="K188" s="553" t="s">
        <v>545</v>
      </c>
      <c r="L188" s="553" t="s">
        <v>546</v>
      </c>
      <c r="M188" s="1">
        <v>58348.69</v>
      </c>
      <c r="N188" s="1">
        <v>0</v>
      </c>
      <c r="O188" s="1">
        <v>58348.69</v>
      </c>
      <c r="P188" s="1">
        <v>0</v>
      </c>
    </row>
    <row r="189" spans="1:16" ht="15">
      <c r="A189" s="579" t="s">
        <v>545</v>
      </c>
      <c r="B189" s="580" t="s">
        <v>546</v>
      </c>
      <c r="C189" s="581">
        <v>58348.69</v>
      </c>
      <c r="D189" s="581">
        <v>59710.53</v>
      </c>
      <c r="E189" s="580" t="s">
        <v>156</v>
      </c>
      <c r="F189" s="580" t="s">
        <v>100</v>
      </c>
      <c r="G189" s="580" t="s">
        <v>1549</v>
      </c>
      <c r="H189" s="582" t="s">
        <v>100</v>
      </c>
      <c r="K189" s="553" t="s">
        <v>547</v>
      </c>
      <c r="L189" s="553" t="s">
        <v>548</v>
      </c>
      <c r="M189" s="1">
        <v>406151.56</v>
      </c>
      <c r="N189" s="1">
        <v>118010.91</v>
      </c>
      <c r="O189" s="1">
        <v>288140.65000000002</v>
      </c>
      <c r="P189" s="1">
        <v>0</v>
      </c>
    </row>
    <row r="190" spans="1:16" ht="15">
      <c r="A190" s="583" t="s">
        <v>547</v>
      </c>
      <c r="B190" s="584" t="s">
        <v>548</v>
      </c>
      <c r="C190" s="585">
        <v>406151.56</v>
      </c>
      <c r="D190" s="585">
        <v>409890.27</v>
      </c>
      <c r="E190" s="584" t="s">
        <v>156</v>
      </c>
      <c r="F190" s="584" t="s">
        <v>100</v>
      </c>
      <c r="G190" s="584" t="s">
        <v>1550</v>
      </c>
      <c r="H190" s="586" t="s">
        <v>549</v>
      </c>
      <c r="K190" s="553" t="s">
        <v>550</v>
      </c>
      <c r="L190" s="553" t="s">
        <v>551</v>
      </c>
      <c r="M190" s="1">
        <v>0</v>
      </c>
      <c r="N190" s="1">
        <v>0</v>
      </c>
      <c r="O190" s="1">
        <v>0</v>
      </c>
      <c r="P190" s="1">
        <v>0</v>
      </c>
    </row>
    <row r="191" spans="1:16" ht="15">
      <c r="A191" s="579" t="s">
        <v>550</v>
      </c>
      <c r="B191" s="580" t="s">
        <v>551</v>
      </c>
      <c r="C191" s="581">
        <v>0</v>
      </c>
      <c r="D191" s="581">
        <v>0</v>
      </c>
      <c r="E191" s="580" t="s">
        <v>156</v>
      </c>
      <c r="F191" s="580" t="s">
        <v>100</v>
      </c>
      <c r="G191" s="580" t="s">
        <v>1548</v>
      </c>
      <c r="H191" s="582" t="s">
        <v>100</v>
      </c>
      <c r="K191" s="553" t="s">
        <v>552</v>
      </c>
      <c r="L191" s="553" t="s">
        <v>553</v>
      </c>
      <c r="M191" s="1">
        <v>233736.26</v>
      </c>
      <c r="N191" s="1">
        <v>215251.26</v>
      </c>
      <c r="O191" s="1">
        <v>18485</v>
      </c>
      <c r="P191" s="1">
        <v>0</v>
      </c>
    </row>
    <row r="192" spans="1:16" ht="15">
      <c r="A192" s="583" t="s">
        <v>552</v>
      </c>
      <c r="B192" s="584" t="s">
        <v>553</v>
      </c>
      <c r="C192" s="585">
        <v>233736.26</v>
      </c>
      <c r="D192" s="585">
        <v>259786.27</v>
      </c>
      <c r="E192" s="584" t="s">
        <v>156</v>
      </c>
      <c r="F192" s="584" t="s">
        <v>100</v>
      </c>
      <c r="G192" s="584" t="s">
        <v>1549</v>
      </c>
      <c r="H192" s="586" t="s">
        <v>100</v>
      </c>
      <c r="K192" s="553" t="s">
        <v>554</v>
      </c>
      <c r="L192" s="553" t="s">
        <v>555</v>
      </c>
      <c r="M192" s="1">
        <v>115191.24</v>
      </c>
      <c r="N192" s="1">
        <v>62807.58</v>
      </c>
      <c r="O192" s="1">
        <v>52383.66</v>
      </c>
      <c r="P192" s="1">
        <v>0</v>
      </c>
    </row>
    <row r="193" spans="1:16" ht="15">
      <c r="A193" s="579" t="s">
        <v>554</v>
      </c>
      <c r="B193" s="580" t="s">
        <v>555</v>
      </c>
      <c r="C193" s="581">
        <v>115191.24</v>
      </c>
      <c r="D193" s="581">
        <v>145976.49</v>
      </c>
      <c r="E193" s="580" t="s">
        <v>156</v>
      </c>
      <c r="F193" s="580" t="s">
        <v>100</v>
      </c>
      <c r="G193" s="580" t="s">
        <v>1549</v>
      </c>
      <c r="H193" s="582" t="s">
        <v>100</v>
      </c>
      <c r="K193" s="553" t="s">
        <v>556</v>
      </c>
      <c r="L193" s="553" t="s">
        <v>1580</v>
      </c>
      <c r="M193" s="1">
        <v>1723246.33</v>
      </c>
      <c r="N193" s="1">
        <v>307914.36</v>
      </c>
      <c r="O193" s="1">
        <v>1415331.97</v>
      </c>
      <c r="P193" s="1">
        <v>0</v>
      </c>
    </row>
    <row r="194" spans="1:16" ht="15">
      <c r="A194" s="583" t="s">
        <v>556</v>
      </c>
      <c r="B194" s="584" t="s">
        <v>1580</v>
      </c>
      <c r="C194" s="585">
        <v>1723246.33</v>
      </c>
      <c r="D194" s="585">
        <v>1798486.2</v>
      </c>
      <c r="E194" s="584" t="s">
        <v>156</v>
      </c>
      <c r="F194" s="584" t="s">
        <v>100</v>
      </c>
      <c r="G194" s="584" t="s">
        <v>1549</v>
      </c>
      <c r="H194" s="586" t="s">
        <v>100</v>
      </c>
      <c r="K194" s="553" t="s">
        <v>558</v>
      </c>
      <c r="L194" s="553" t="s">
        <v>559</v>
      </c>
      <c r="M194" s="1">
        <v>71594.649999999994</v>
      </c>
      <c r="N194" s="1">
        <v>49031.45</v>
      </c>
      <c r="O194" s="1">
        <v>22563.200000000001</v>
      </c>
      <c r="P194" s="1">
        <v>0</v>
      </c>
    </row>
    <row r="195" spans="1:16" ht="15">
      <c r="A195" s="579" t="s">
        <v>558</v>
      </c>
      <c r="B195" s="580" t="s">
        <v>559</v>
      </c>
      <c r="C195" s="581">
        <v>71594.649999999994</v>
      </c>
      <c r="D195" s="581">
        <v>74833.539999999994</v>
      </c>
      <c r="E195" s="580" t="s">
        <v>156</v>
      </c>
      <c r="F195" s="580" t="s">
        <v>100</v>
      </c>
      <c r="G195" s="580" t="s">
        <v>1549</v>
      </c>
      <c r="H195" s="582" t="s">
        <v>100</v>
      </c>
      <c r="K195" s="553" t="s">
        <v>560</v>
      </c>
      <c r="L195" s="553" t="s">
        <v>561</v>
      </c>
      <c r="M195" s="1">
        <v>108957.73</v>
      </c>
      <c r="N195" s="1">
        <v>44810</v>
      </c>
      <c r="O195" s="1">
        <v>64147.73</v>
      </c>
      <c r="P195" s="1">
        <v>0</v>
      </c>
    </row>
    <row r="196" spans="1:16" ht="15">
      <c r="A196" s="583" t="s">
        <v>560</v>
      </c>
      <c r="B196" s="584" t="s">
        <v>561</v>
      </c>
      <c r="C196" s="585">
        <v>108957.73</v>
      </c>
      <c r="D196" s="585">
        <v>127392.41</v>
      </c>
      <c r="E196" s="584" t="s">
        <v>156</v>
      </c>
      <c r="F196" s="584" t="s">
        <v>100</v>
      </c>
      <c r="G196" s="584" t="s">
        <v>1549</v>
      </c>
      <c r="H196" s="586" t="s">
        <v>100</v>
      </c>
      <c r="K196" s="553" t="s">
        <v>562</v>
      </c>
      <c r="L196" s="553" t="s">
        <v>563</v>
      </c>
      <c r="M196" s="1">
        <v>120493.09</v>
      </c>
      <c r="N196" s="1">
        <v>0</v>
      </c>
      <c r="O196" s="1">
        <v>120493.09</v>
      </c>
      <c r="P196" s="1">
        <v>0</v>
      </c>
    </row>
    <row r="197" spans="1:16" ht="15">
      <c r="A197" s="579" t="s">
        <v>562</v>
      </c>
      <c r="B197" s="580" t="s">
        <v>563</v>
      </c>
      <c r="C197" s="581">
        <v>120493.09</v>
      </c>
      <c r="D197" s="581">
        <v>129079.56</v>
      </c>
      <c r="E197" s="580" t="s">
        <v>156</v>
      </c>
      <c r="F197" s="580" t="s">
        <v>100</v>
      </c>
      <c r="G197" s="580" t="s">
        <v>1549</v>
      </c>
      <c r="H197" s="582" t="s">
        <v>100</v>
      </c>
      <c r="K197" s="553" t="s">
        <v>564</v>
      </c>
      <c r="L197" s="553" t="s">
        <v>565</v>
      </c>
      <c r="M197" s="1">
        <v>42000</v>
      </c>
      <c r="N197" s="1">
        <v>0</v>
      </c>
      <c r="O197" s="1">
        <v>42000</v>
      </c>
      <c r="P197" s="1">
        <v>0</v>
      </c>
    </row>
    <row r="198" spans="1:16" ht="15">
      <c r="A198" s="583" t="s">
        <v>564</v>
      </c>
      <c r="B198" s="584" t="s">
        <v>565</v>
      </c>
      <c r="C198" s="585">
        <v>42000</v>
      </c>
      <c r="D198" s="585">
        <v>42000</v>
      </c>
      <c r="E198" s="584" t="s">
        <v>156</v>
      </c>
      <c r="F198" s="584" t="s">
        <v>100</v>
      </c>
      <c r="G198" s="584" t="s">
        <v>1549</v>
      </c>
      <c r="H198" s="586" t="s">
        <v>100</v>
      </c>
      <c r="K198" s="553" t="s">
        <v>1581</v>
      </c>
      <c r="L198" s="553" t="s">
        <v>1582</v>
      </c>
      <c r="M198" s="1">
        <v>68288.13</v>
      </c>
      <c r="N198" s="1">
        <v>0</v>
      </c>
      <c r="O198" s="1">
        <v>56065.71</v>
      </c>
      <c r="P198" s="1">
        <v>12222.42</v>
      </c>
    </row>
    <row r="199" spans="1:16" ht="15">
      <c r="A199" s="579" t="s">
        <v>1581</v>
      </c>
      <c r="B199" s="580" t="s">
        <v>1582</v>
      </c>
      <c r="C199" s="581">
        <v>68288.13</v>
      </c>
      <c r="D199" s="581">
        <v>68288.13</v>
      </c>
      <c r="E199" s="580" t="s">
        <v>156</v>
      </c>
      <c r="F199" s="580" t="s">
        <v>100</v>
      </c>
      <c r="G199" s="580" t="s">
        <v>1549</v>
      </c>
      <c r="H199" s="582" t="s">
        <v>100</v>
      </c>
      <c r="K199" s="553" t="s">
        <v>566</v>
      </c>
      <c r="L199" s="553" t="s">
        <v>567</v>
      </c>
      <c r="M199" s="1">
        <v>2483507.4300000002</v>
      </c>
      <c r="N199" s="1">
        <v>679814.65</v>
      </c>
      <c r="O199" s="1">
        <v>1791470.36</v>
      </c>
      <c r="P199" s="1">
        <v>12222.42</v>
      </c>
    </row>
    <row r="200" spans="1:16" ht="15">
      <c r="A200" s="583" t="s">
        <v>566</v>
      </c>
      <c r="B200" s="584" t="s">
        <v>567</v>
      </c>
      <c r="C200" s="585">
        <v>2483507.4300000002</v>
      </c>
      <c r="D200" s="585">
        <v>2645842.6</v>
      </c>
      <c r="E200" s="584" t="s">
        <v>156</v>
      </c>
      <c r="F200" s="584" t="s">
        <v>100</v>
      </c>
      <c r="G200" s="584" t="s">
        <v>1550</v>
      </c>
      <c r="H200" s="586" t="s">
        <v>568</v>
      </c>
      <c r="K200" s="553" t="s">
        <v>569</v>
      </c>
      <c r="L200" s="553" t="s">
        <v>570</v>
      </c>
      <c r="M200" s="1">
        <v>0</v>
      </c>
      <c r="N200" s="1">
        <v>0</v>
      </c>
      <c r="O200" s="1">
        <v>0</v>
      </c>
      <c r="P200" s="1">
        <v>0</v>
      </c>
    </row>
    <row r="201" spans="1:16" ht="15">
      <c r="A201" s="579" t="s">
        <v>569</v>
      </c>
      <c r="B201" s="580" t="s">
        <v>570</v>
      </c>
      <c r="C201" s="581">
        <v>0</v>
      </c>
      <c r="D201" s="581">
        <v>0</v>
      </c>
      <c r="E201" s="580" t="s">
        <v>156</v>
      </c>
      <c r="F201" s="580" t="s">
        <v>100</v>
      </c>
      <c r="G201" s="580" t="s">
        <v>1548</v>
      </c>
      <c r="H201" s="582" t="s">
        <v>100</v>
      </c>
      <c r="K201" s="553" t="s">
        <v>571</v>
      </c>
      <c r="L201" s="553" t="s">
        <v>572</v>
      </c>
      <c r="M201" s="1">
        <v>29634.55</v>
      </c>
      <c r="N201" s="1">
        <v>0</v>
      </c>
      <c r="O201" s="1">
        <v>29634.55</v>
      </c>
      <c r="P201" s="1">
        <v>0</v>
      </c>
    </row>
    <row r="202" spans="1:16" ht="15">
      <c r="A202" s="583" t="s">
        <v>571</v>
      </c>
      <c r="B202" s="584" t="s">
        <v>572</v>
      </c>
      <c r="C202" s="585">
        <v>29634.55</v>
      </c>
      <c r="D202" s="585">
        <v>31393.56</v>
      </c>
      <c r="E202" s="584" t="s">
        <v>156</v>
      </c>
      <c r="F202" s="584" t="s">
        <v>100</v>
      </c>
      <c r="G202" s="584" t="s">
        <v>1549</v>
      </c>
      <c r="H202" s="586" t="s">
        <v>100</v>
      </c>
      <c r="K202" s="553" t="s">
        <v>573</v>
      </c>
      <c r="L202" s="553" t="s">
        <v>574</v>
      </c>
      <c r="M202" s="1">
        <v>12000</v>
      </c>
      <c r="N202" s="1">
        <v>12000</v>
      </c>
      <c r="O202" s="1">
        <v>0</v>
      </c>
      <c r="P202" s="1">
        <v>0</v>
      </c>
    </row>
    <row r="203" spans="1:16" ht="15">
      <c r="A203" s="579" t="s">
        <v>573</v>
      </c>
      <c r="B203" s="580" t="s">
        <v>574</v>
      </c>
      <c r="C203" s="581">
        <v>12000</v>
      </c>
      <c r="D203" s="581">
        <v>12000</v>
      </c>
      <c r="E203" s="580" t="s">
        <v>156</v>
      </c>
      <c r="F203" s="580" t="s">
        <v>100</v>
      </c>
      <c r="G203" s="580" t="s">
        <v>1549</v>
      </c>
      <c r="H203" s="582" t="s">
        <v>100</v>
      </c>
      <c r="K203" s="553" t="s">
        <v>575</v>
      </c>
      <c r="L203" s="553" t="s">
        <v>576</v>
      </c>
      <c r="M203" s="1">
        <v>41634.550000000003</v>
      </c>
      <c r="N203" s="1">
        <v>12000</v>
      </c>
      <c r="O203" s="1">
        <v>29634.55</v>
      </c>
      <c r="P203" s="1">
        <v>0</v>
      </c>
    </row>
    <row r="204" spans="1:16" ht="15">
      <c r="A204" s="583" t="s">
        <v>575</v>
      </c>
      <c r="B204" s="584" t="s">
        <v>576</v>
      </c>
      <c r="C204" s="585">
        <v>41634.550000000003</v>
      </c>
      <c r="D204" s="585">
        <v>43393.56</v>
      </c>
      <c r="E204" s="584" t="s">
        <v>156</v>
      </c>
      <c r="F204" s="584" t="s">
        <v>100</v>
      </c>
      <c r="G204" s="584" t="s">
        <v>1550</v>
      </c>
      <c r="H204" s="586" t="s">
        <v>577</v>
      </c>
      <c r="K204" s="553" t="s">
        <v>578</v>
      </c>
      <c r="L204" s="553" t="s">
        <v>579</v>
      </c>
      <c r="M204" s="1">
        <v>0</v>
      </c>
      <c r="N204" s="1">
        <v>0</v>
      </c>
      <c r="O204" s="1">
        <v>0</v>
      </c>
      <c r="P204" s="1">
        <v>0</v>
      </c>
    </row>
    <row r="205" spans="1:16" ht="15">
      <c r="A205" s="579" t="s">
        <v>578</v>
      </c>
      <c r="B205" s="580" t="s">
        <v>579</v>
      </c>
      <c r="C205" s="581">
        <v>0</v>
      </c>
      <c r="D205" s="581">
        <v>0</v>
      </c>
      <c r="E205" s="580" t="s">
        <v>156</v>
      </c>
      <c r="F205" s="580" t="s">
        <v>100</v>
      </c>
      <c r="G205" s="580" t="s">
        <v>1548</v>
      </c>
      <c r="H205" s="582" t="s">
        <v>100</v>
      </c>
      <c r="K205" s="553" t="s">
        <v>580</v>
      </c>
      <c r="L205" s="553" t="s">
        <v>581</v>
      </c>
      <c r="M205" s="1">
        <v>33407.050000000003</v>
      </c>
      <c r="N205" s="1">
        <v>33407.050000000003</v>
      </c>
      <c r="O205" s="1">
        <v>0</v>
      </c>
      <c r="P205" s="1">
        <v>0</v>
      </c>
    </row>
    <row r="206" spans="1:16" ht="15">
      <c r="A206" s="583" t="s">
        <v>580</v>
      </c>
      <c r="B206" s="584" t="s">
        <v>581</v>
      </c>
      <c r="C206" s="585">
        <v>33407.050000000003</v>
      </c>
      <c r="D206" s="585">
        <v>19991.419999999998</v>
      </c>
      <c r="E206" s="584" t="s">
        <v>156</v>
      </c>
      <c r="F206" s="584" t="s">
        <v>100</v>
      </c>
      <c r="G206" s="584" t="s">
        <v>1549</v>
      </c>
      <c r="H206" s="586" t="s">
        <v>100</v>
      </c>
      <c r="K206" s="553" t="s">
        <v>582</v>
      </c>
      <c r="L206" s="553" t="s">
        <v>583</v>
      </c>
      <c r="M206" s="1">
        <v>120331.62</v>
      </c>
      <c r="N206" s="1">
        <v>120331.62</v>
      </c>
      <c r="O206" s="1">
        <v>0</v>
      </c>
      <c r="P206" s="1">
        <v>0</v>
      </c>
    </row>
    <row r="207" spans="1:16" ht="15">
      <c r="A207" s="579" t="s">
        <v>582</v>
      </c>
      <c r="B207" s="580" t="s">
        <v>583</v>
      </c>
      <c r="C207" s="581">
        <v>120331.62</v>
      </c>
      <c r="D207" s="581">
        <v>133701.79999999999</v>
      </c>
      <c r="E207" s="580" t="s">
        <v>156</v>
      </c>
      <c r="F207" s="580" t="s">
        <v>100</v>
      </c>
      <c r="G207" s="580" t="s">
        <v>1549</v>
      </c>
      <c r="H207" s="582" t="s">
        <v>100</v>
      </c>
      <c r="K207" s="553" t="s">
        <v>584</v>
      </c>
      <c r="L207" s="553" t="s">
        <v>585</v>
      </c>
      <c r="M207" s="1">
        <v>-34596</v>
      </c>
      <c r="N207" s="1">
        <v>-34596</v>
      </c>
      <c r="O207" s="1">
        <v>0</v>
      </c>
      <c r="P207" s="1">
        <v>0</v>
      </c>
    </row>
    <row r="208" spans="1:16" ht="15">
      <c r="A208" s="583" t="s">
        <v>584</v>
      </c>
      <c r="B208" s="584" t="s">
        <v>585</v>
      </c>
      <c r="C208" s="585">
        <v>-34596</v>
      </c>
      <c r="D208" s="585">
        <v>-38440</v>
      </c>
      <c r="E208" s="584" t="s">
        <v>156</v>
      </c>
      <c r="F208" s="584" t="s">
        <v>100</v>
      </c>
      <c r="G208" s="584" t="s">
        <v>1549</v>
      </c>
      <c r="H208" s="586" t="s">
        <v>100</v>
      </c>
      <c r="K208" s="553" t="s">
        <v>586</v>
      </c>
      <c r="L208" s="553" t="s">
        <v>587</v>
      </c>
      <c r="M208" s="1">
        <v>177849.04</v>
      </c>
      <c r="N208" s="1">
        <v>0</v>
      </c>
      <c r="O208" s="1">
        <v>177849.04</v>
      </c>
      <c r="P208" s="1">
        <v>0</v>
      </c>
    </row>
    <row r="209" spans="1:16" ht="15">
      <c r="A209" s="579" t="s">
        <v>586</v>
      </c>
      <c r="B209" s="580" t="s">
        <v>587</v>
      </c>
      <c r="C209" s="581">
        <v>177849.04</v>
      </c>
      <c r="D209" s="581">
        <v>193102.79</v>
      </c>
      <c r="E209" s="580" t="s">
        <v>156</v>
      </c>
      <c r="F209" s="580" t="s">
        <v>100</v>
      </c>
      <c r="G209" s="580" t="s">
        <v>1549</v>
      </c>
      <c r="H209" s="582" t="s">
        <v>100</v>
      </c>
      <c r="K209" s="553" t="s">
        <v>588</v>
      </c>
      <c r="L209" s="553" t="s">
        <v>1583</v>
      </c>
      <c r="M209" s="1">
        <v>0</v>
      </c>
      <c r="N209" s="1">
        <v>0</v>
      </c>
      <c r="O209" s="1">
        <v>0</v>
      </c>
      <c r="P209" s="1">
        <v>0</v>
      </c>
    </row>
    <row r="210" spans="1:16" ht="15">
      <c r="A210" s="583" t="s">
        <v>588</v>
      </c>
      <c r="B210" s="584" t="s">
        <v>1583</v>
      </c>
      <c r="C210" s="585">
        <v>0</v>
      </c>
      <c r="D210" s="585">
        <v>0</v>
      </c>
      <c r="E210" s="584" t="s">
        <v>156</v>
      </c>
      <c r="F210" s="584" t="s">
        <v>100</v>
      </c>
      <c r="G210" s="584" t="s">
        <v>1549</v>
      </c>
      <c r="H210" s="586" t="s">
        <v>100</v>
      </c>
      <c r="K210" s="553" t="s">
        <v>590</v>
      </c>
      <c r="L210" s="553" t="s">
        <v>591</v>
      </c>
      <c r="M210" s="1">
        <v>-3885.09</v>
      </c>
      <c r="N210" s="1">
        <v>-3885.09</v>
      </c>
      <c r="O210" s="1">
        <v>0</v>
      </c>
      <c r="P210" s="1">
        <v>0</v>
      </c>
    </row>
    <row r="211" spans="1:16" ht="15">
      <c r="A211" s="579" t="s">
        <v>590</v>
      </c>
      <c r="B211" s="580" t="s">
        <v>591</v>
      </c>
      <c r="C211" s="581">
        <v>-3885.09</v>
      </c>
      <c r="D211" s="581">
        <v>-6082.09</v>
      </c>
      <c r="E211" s="580" t="s">
        <v>156</v>
      </c>
      <c r="F211" s="580" t="s">
        <v>100</v>
      </c>
      <c r="G211" s="580" t="s">
        <v>1549</v>
      </c>
      <c r="H211" s="582" t="s">
        <v>100</v>
      </c>
      <c r="K211" s="553" t="s">
        <v>592</v>
      </c>
      <c r="L211" s="553" t="s">
        <v>593</v>
      </c>
      <c r="M211" s="1">
        <v>17984.13</v>
      </c>
      <c r="N211" s="1">
        <v>17984.13</v>
      </c>
      <c r="O211" s="1">
        <v>0</v>
      </c>
      <c r="P211" s="1">
        <v>0</v>
      </c>
    </row>
    <row r="212" spans="1:16" ht="15">
      <c r="A212" s="583" t="s">
        <v>592</v>
      </c>
      <c r="B212" s="584" t="s">
        <v>593</v>
      </c>
      <c r="C212" s="585">
        <v>17984.13</v>
      </c>
      <c r="D212" s="585">
        <v>22179.52</v>
      </c>
      <c r="E212" s="584" t="s">
        <v>156</v>
      </c>
      <c r="F212" s="584" t="s">
        <v>100</v>
      </c>
      <c r="G212" s="584" t="s">
        <v>1549</v>
      </c>
      <c r="H212" s="586" t="s">
        <v>100</v>
      </c>
      <c r="K212" s="553" t="s">
        <v>594</v>
      </c>
      <c r="L212" s="553" t="s">
        <v>595</v>
      </c>
      <c r="M212" s="1">
        <v>311090.75</v>
      </c>
      <c r="N212" s="1">
        <v>133241.71</v>
      </c>
      <c r="O212" s="1">
        <v>177849.04</v>
      </c>
      <c r="P212" s="1">
        <v>0</v>
      </c>
    </row>
    <row r="213" spans="1:16" ht="15">
      <c r="A213" s="579" t="s">
        <v>594</v>
      </c>
      <c r="B213" s="580" t="s">
        <v>595</v>
      </c>
      <c r="C213" s="581">
        <v>311090.75</v>
      </c>
      <c r="D213" s="581">
        <v>324453.44</v>
      </c>
      <c r="E213" s="580" t="s">
        <v>156</v>
      </c>
      <c r="F213" s="580" t="s">
        <v>100</v>
      </c>
      <c r="G213" s="580" t="s">
        <v>1550</v>
      </c>
      <c r="H213" s="582" t="s">
        <v>596</v>
      </c>
      <c r="K213" s="553" t="s">
        <v>597</v>
      </c>
      <c r="L213" s="553" t="s">
        <v>595</v>
      </c>
      <c r="M213" s="1">
        <v>0</v>
      </c>
      <c r="N213" s="1">
        <v>0</v>
      </c>
      <c r="O213" s="1">
        <v>0</v>
      </c>
      <c r="P213" s="1">
        <v>0</v>
      </c>
    </row>
    <row r="214" spans="1:16" ht="15">
      <c r="A214" s="583" t="s">
        <v>597</v>
      </c>
      <c r="B214" s="584" t="s">
        <v>595</v>
      </c>
      <c r="C214" s="585">
        <v>0</v>
      </c>
      <c r="D214" s="585">
        <v>0</v>
      </c>
      <c r="E214" s="584" t="s">
        <v>156</v>
      </c>
      <c r="F214" s="584" t="s">
        <v>100</v>
      </c>
      <c r="G214" s="584" t="s">
        <v>1584</v>
      </c>
      <c r="H214" s="586" t="s">
        <v>100</v>
      </c>
      <c r="K214" s="553" t="s">
        <v>599</v>
      </c>
      <c r="L214" s="553" t="s">
        <v>600</v>
      </c>
      <c r="M214" s="1">
        <v>0</v>
      </c>
      <c r="N214" s="1">
        <v>0</v>
      </c>
      <c r="O214" s="1">
        <v>0</v>
      </c>
      <c r="P214" s="1">
        <v>0</v>
      </c>
    </row>
    <row r="215" spans="1:16" ht="15">
      <c r="A215" s="579" t="s">
        <v>599</v>
      </c>
      <c r="B215" s="580" t="s">
        <v>600</v>
      </c>
      <c r="C215" s="581">
        <v>0</v>
      </c>
      <c r="D215" s="581">
        <v>0</v>
      </c>
      <c r="E215" s="580" t="s">
        <v>156</v>
      </c>
      <c r="F215" s="580" t="s">
        <v>100</v>
      </c>
      <c r="G215" s="580" t="s">
        <v>1548</v>
      </c>
      <c r="H215" s="582" t="s">
        <v>100</v>
      </c>
      <c r="K215" s="553" t="s">
        <v>601</v>
      </c>
      <c r="L215" s="553" t="s">
        <v>602</v>
      </c>
      <c r="M215" s="1">
        <v>0</v>
      </c>
      <c r="N215" s="1">
        <v>0</v>
      </c>
      <c r="O215" s="1">
        <v>0</v>
      </c>
      <c r="P215" s="1">
        <v>0</v>
      </c>
    </row>
    <row r="216" spans="1:16" ht="15">
      <c r="A216" s="583" t="s">
        <v>601</v>
      </c>
      <c r="B216" s="584" t="s">
        <v>602</v>
      </c>
      <c r="C216" s="585">
        <v>0</v>
      </c>
      <c r="D216" s="585">
        <v>0</v>
      </c>
      <c r="E216" s="584" t="s">
        <v>156</v>
      </c>
      <c r="F216" s="584" t="s">
        <v>100</v>
      </c>
      <c r="G216" s="584" t="s">
        <v>1549</v>
      </c>
      <c r="H216" s="586" t="s">
        <v>100</v>
      </c>
      <c r="K216" s="553" t="s">
        <v>603</v>
      </c>
      <c r="L216" s="553" t="s">
        <v>604</v>
      </c>
      <c r="M216" s="1">
        <v>22330.02</v>
      </c>
      <c r="N216" s="1">
        <v>0</v>
      </c>
      <c r="O216" s="1">
        <v>22330.02</v>
      </c>
      <c r="P216" s="1">
        <v>0</v>
      </c>
    </row>
    <row r="217" spans="1:16" ht="15">
      <c r="A217" s="579" t="s">
        <v>603</v>
      </c>
      <c r="B217" s="580" t="s">
        <v>604</v>
      </c>
      <c r="C217" s="581">
        <v>22330.02</v>
      </c>
      <c r="D217" s="581">
        <v>22330.02</v>
      </c>
      <c r="E217" s="580" t="s">
        <v>156</v>
      </c>
      <c r="F217" s="580" t="s">
        <v>100</v>
      </c>
      <c r="G217" s="580" t="s">
        <v>1549</v>
      </c>
      <c r="H217" s="582" t="s">
        <v>100</v>
      </c>
      <c r="K217" s="553" t="s">
        <v>605</v>
      </c>
      <c r="L217" s="553" t="s">
        <v>606</v>
      </c>
      <c r="M217" s="1">
        <v>0</v>
      </c>
      <c r="N217" s="1">
        <v>0</v>
      </c>
      <c r="O217" s="1">
        <v>0</v>
      </c>
      <c r="P217" s="1">
        <v>0</v>
      </c>
    </row>
    <row r="218" spans="1:16" ht="15">
      <c r="A218" s="583" t="s">
        <v>605</v>
      </c>
      <c r="B218" s="584" t="s">
        <v>606</v>
      </c>
      <c r="C218" s="585">
        <v>0</v>
      </c>
      <c r="D218" s="585">
        <v>0</v>
      </c>
      <c r="E218" s="584" t="s">
        <v>156</v>
      </c>
      <c r="F218" s="584" t="s">
        <v>100</v>
      </c>
      <c r="G218" s="584" t="s">
        <v>1549</v>
      </c>
      <c r="H218" s="586" t="s">
        <v>100</v>
      </c>
      <c r="K218" s="553" t="s">
        <v>607</v>
      </c>
      <c r="L218" s="553" t="s">
        <v>608</v>
      </c>
      <c r="M218" s="1">
        <v>22563.69</v>
      </c>
      <c r="N218" s="1">
        <v>0</v>
      </c>
      <c r="O218" s="1">
        <v>22563.69</v>
      </c>
      <c r="P218" s="1">
        <v>0</v>
      </c>
    </row>
    <row r="219" spans="1:16" ht="15">
      <c r="A219" s="579" t="s">
        <v>607</v>
      </c>
      <c r="B219" s="580" t="s">
        <v>608</v>
      </c>
      <c r="C219" s="581">
        <v>22563.69</v>
      </c>
      <c r="D219" s="581">
        <v>22563.69</v>
      </c>
      <c r="E219" s="580" t="s">
        <v>156</v>
      </c>
      <c r="F219" s="580" t="s">
        <v>100</v>
      </c>
      <c r="G219" s="580" t="s">
        <v>1549</v>
      </c>
      <c r="H219" s="582" t="s">
        <v>100</v>
      </c>
      <c r="K219" s="553" t="s">
        <v>609</v>
      </c>
      <c r="L219" s="553" t="s">
        <v>610</v>
      </c>
      <c r="M219" s="1">
        <v>0</v>
      </c>
      <c r="N219" s="1">
        <v>0</v>
      </c>
      <c r="O219" s="1">
        <v>0</v>
      </c>
      <c r="P219" s="1">
        <v>0</v>
      </c>
    </row>
    <row r="220" spans="1:16" ht="15">
      <c r="A220" s="583" t="s">
        <v>609</v>
      </c>
      <c r="B220" s="584" t="s">
        <v>610</v>
      </c>
      <c r="C220" s="585">
        <v>0</v>
      </c>
      <c r="D220" s="585">
        <v>0</v>
      </c>
      <c r="E220" s="584" t="s">
        <v>156</v>
      </c>
      <c r="F220" s="584" t="s">
        <v>100</v>
      </c>
      <c r="G220" s="584" t="s">
        <v>1549</v>
      </c>
      <c r="H220" s="586" t="s">
        <v>100</v>
      </c>
      <c r="K220" s="553" t="s">
        <v>611</v>
      </c>
      <c r="L220" s="553" t="s">
        <v>612</v>
      </c>
      <c r="M220" s="1">
        <v>707.26</v>
      </c>
      <c r="N220" s="1">
        <v>0</v>
      </c>
      <c r="O220" s="1">
        <v>707.26</v>
      </c>
      <c r="P220" s="1">
        <v>0</v>
      </c>
    </row>
    <row r="221" spans="1:16" ht="15">
      <c r="A221" s="579" t="s">
        <v>611</v>
      </c>
      <c r="B221" s="580" t="s">
        <v>612</v>
      </c>
      <c r="C221" s="581">
        <v>707.26</v>
      </c>
      <c r="D221" s="581">
        <v>707.26</v>
      </c>
      <c r="E221" s="580" t="s">
        <v>156</v>
      </c>
      <c r="F221" s="580" t="s">
        <v>100</v>
      </c>
      <c r="G221" s="580" t="s">
        <v>1549</v>
      </c>
      <c r="H221" s="582" t="s">
        <v>100</v>
      </c>
      <c r="K221" s="553" t="s">
        <v>613</v>
      </c>
      <c r="L221" s="553" t="s">
        <v>614</v>
      </c>
      <c r="M221" s="1">
        <v>0</v>
      </c>
      <c r="N221" s="1">
        <v>0</v>
      </c>
      <c r="O221" s="1">
        <v>0</v>
      </c>
      <c r="P221" s="1">
        <v>0</v>
      </c>
    </row>
    <row r="222" spans="1:16" ht="15">
      <c r="A222" s="583" t="s">
        <v>613</v>
      </c>
      <c r="B222" s="584" t="s">
        <v>614</v>
      </c>
      <c r="C222" s="585">
        <v>0</v>
      </c>
      <c r="D222" s="585">
        <v>0</v>
      </c>
      <c r="E222" s="584" t="s">
        <v>156</v>
      </c>
      <c r="F222" s="584" t="s">
        <v>100</v>
      </c>
      <c r="G222" s="584" t="s">
        <v>1549</v>
      </c>
      <c r="H222" s="586" t="s">
        <v>100</v>
      </c>
      <c r="K222" s="553" t="s">
        <v>615</v>
      </c>
      <c r="L222" s="553" t="s">
        <v>616</v>
      </c>
      <c r="M222" s="1">
        <v>0</v>
      </c>
      <c r="N222" s="1">
        <v>0</v>
      </c>
      <c r="O222" s="1">
        <v>0</v>
      </c>
      <c r="P222" s="1">
        <v>0</v>
      </c>
    </row>
    <row r="223" spans="1:16" ht="15">
      <c r="A223" s="579" t="s">
        <v>615</v>
      </c>
      <c r="B223" s="580" t="s">
        <v>616</v>
      </c>
      <c r="C223" s="581">
        <v>0</v>
      </c>
      <c r="D223" s="581">
        <v>0</v>
      </c>
      <c r="E223" s="580" t="s">
        <v>156</v>
      </c>
      <c r="F223" s="580" t="s">
        <v>100</v>
      </c>
      <c r="G223" s="580" t="s">
        <v>1549</v>
      </c>
      <c r="H223" s="582" t="s">
        <v>100</v>
      </c>
      <c r="K223" s="553" t="s">
        <v>617</v>
      </c>
      <c r="L223" s="553" t="s">
        <v>618</v>
      </c>
      <c r="M223" s="1">
        <v>45600.97</v>
      </c>
      <c r="N223" s="1">
        <v>0</v>
      </c>
      <c r="O223" s="1">
        <v>45600.97</v>
      </c>
      <c r="P223" s="1">
        <v>0</v>
      </c>
    </row>
    <row r="224" spans="1:16" ht="15">
      <c r="A224" s="583" t="s">
        <v>617</v>
      </c>
      <c r="B224" s="584" t="s">
        <v>618</v>
      </c>
      <c r="C224" s="585">
        <v>45600.97</v>
      </c>
      <c r="D224" s="585">
        <v>45600.97</v>
      </c>
      <c r="E224" s="584" t="s">
        <v>156</v>
      </c>
      <c r="F224" s="584" t="s">
        <v>100</v>
      </c>
      <c r="G224" s="584" t="s">
        <v>1550</v>
      </c>
      <c r="H224" s="586" t="s">
        <v>619</v>
      </c>
      <c r="K224" s="553" t="s">
        <v>620</v>
      </c>
      <c r="L224" s="553" t="s">
        <v>621</v>
      </c>
      <c r="M224" s="1">
        <v>588201.61</v>
      </c>
      <c r="N224" s="1">
        <v>907951.97</v>
      </c>
      <c r="O224" s="1">
        <v>-336443.74</v>
      </c>
      <c r="P224" s="1">
        <v>16693.38</v>
      </c>
    </row>
    <row r="225" spans="1:17" ht="15">
      <c r="A225" s="579" t="s">
        <v>620</v>
      </c>
      <c r="B225" s="580" t="s">
        <v>621</v>
      </c>
      <c r="C225" s="581">
        <v>588202.11</v>
      </c>
      <c r="D225" s="581">
        <v>50793.82</v>
      </c>
      <c r="E225" s="580" t="s">
        <v>156</v>
      </c>
      <c r="F225" s="580" t="s">
        <v>100</v>
      </c>
      <c r="G225" s="580" t="s">
        <v>1550</v>
      </c>
      <c r="H225" s="582" t="s">
        <v>622</v>
      </c>
      <c r="K225" s="553" t="s">
        <v>623</v>
      </c>
      <c r="L225" s="553" t="s">
        <v>624</v>
      </c>
      <c r="M225" s="1">
        <v>588201.61</v>
      </c>
      <c r="N225" s="1">
        <v>907951.97</v>
      </c>
      <c r="O225" s="1">
        <v>-336443.74</v>
      </c>
      <c r="P225" s="1">
        <v>16693.38</v>
      </c>
    </row>
    <row r="226" spans="1:17" ht="15">
      <c r="A226" s="583" t="s">
        <v>623</v>
      </c>
      <c r="B226" s="584" t="s">
        <v>624</v>
      </c>
      <c r="C226" s="585">
        <v>588202.11</v>
      </c>
      <c r="D226" s="585">
        <v>50793.82</v>
      </c>
      <c r="E226" s="584" t="s">
        <v>156</v>
      </c>
      <c r="F226" s="584" t="s">
        <v>100</v>
      </c>
      <c r="G226" s="584" t="s">
        <v>1550</v>
      </c>
      <c r="H226" s="586" t="s">
        <v>625</v>
      </c>
      <c r="K226" s="553" t="s">
        <v>626</v>
      </c>
      <c r="L226" s="553" t="s">
        <v>627</v>
      </c>
      <c r="M226" s="1">
        <v>0</v>
      </c>
      <c r="N226" s="1">
        <v>0</v>
      </c>
      <c r="O226" s="1">
        <v>0</v>
      </c>
      <c r="P226" s="1">
        <v>0</v>
      </c>
    </row>
    <row r="227" spans="1:17" ht="15">
      <c r="A227" s="579" t="s">
        <v>626</v>
      </c>
      <c r="B227" s="580" t="s">
        <v>627</v>
      </c>
      <c r="C227" s="581">
        <v>0</v>
      </c>
      <c r="D227" s="581">
        <v>0</v>
      </c>
      <c r="E227" s="580" t="s">
        <v>156</v>
      </c>
      <c r="F227" s="580" t="s">
        <v>100</v>
      </c>
      <c r="G227" s="580" t="s">
        <v>1548</v>
      </c>
      <c r="H227" s="582" t="s">
        <v>100</v>
      </c>
      <c r="K227" s="553" t="s">
        <v>628</v>
      </c>
      <c r="L227" s="553" t="s">
        <v>629</v>
      </c>
      <c r="M227" s="1">
        <v>0</v>
      </c>
      <c r="N227" s="1">
        <v>0</v>
      </c>
      <c r="O227" s="1">
        <v>0</v>
      </c>
      <c r="P227" s="1">
        <v>0</v>
      </c>
    </row>
    <row r="228" spans="1:17" ht="15">
      <c r="A228" s="583" t="s">
        <v>628</v>
      </c>
      <c r="B228" s="584" t="s">
        <v>629</v>
      </c>
      <c r="C228" s="585">
        <v>7885.26</v>
      </c>
      <c r="D228" s="585">
        <v>7885.26</v>
      </c>
      <c r="E228" s="584" t="s">
        <v>156</v>
      </c>
      <c r="F228" s="584" t="s">
        <v>100</v>
      </c>
      <c r="G228" s="584" t="s">
        <v>1549</v>
      </c>
      <c r="H228" s="586" t="s">
        <v>100</v>
      </c>
      <c r="K228" s="553" t="s">
        <v>630</v>
      </c>
      <c r="L228" s="553" t="s">
        <v>631</v>
      </c>
      <c r="M228" s="1">
        <v>0</v>
      </c>
      <c r="N228" s="1">
        <v>0</v>
      </c>
      <c r="O228" s="1">
        <v>0</v>
      </c>
      <c r="P228" s="1">
        <v>0</v>
      </c>
    </row>
    <row r="229" spans="1:17" ht="15">
      <c r="A229" s="579" t="s">
        <v>630</v>
      </c>
      <c r="B229" s="580" t="s">
        <v>631</v>
      </c>
      <c r="C229" s="581">
        <v>7885.26</v>
      </c>
      <c r="D229" s="581">
        <v>7885.26</v>
      </c>
      <c r="E229" s="580" t="s">
        <v>156</v>
      </c>
      <c r="F229" s="580" t="s">
        <v>100</v>
      </c>
      <c r="G229" s="580" t="s">
        <v>1550</v>
      </c>
      <c r="H229" s="582" t="s">
        <v>632</v>
      </c>
      <c r="K229" s="553" t="s">
        <v>633</v>
      </c>
      <c r="L229" s="553" t="s">
        <v>634</v>
      </c>
      <c r="M229" s="1">
        <v>588201.61</v>
      </c>
      <c r="N229" s="78">
        <v>907951.97</v>
      </c>
      <c r="O229" s="78">
        <v>-336443.74</v>
      </c>
      <c r="P229" s="78">
        <v>16693.38</v>
      </c>
      <c r="Q229" s="577"/>
    </row>
    <row r="230" spans="1:17" ht="15">
      <c r="A230" s="583" t="s">
        <v>633</v>
      </c>
      <c r="B230" s="584" t="s">
        <v>634</v>
      </c>
      <c r="C230" s="585">
        <v>596087.37</v>
      </c>
      <c r="D230" s="585">
        <v>58679.08</v>
      </c>
      <c r="E230" s="584" t="s">
        <v>156</v>
      </c>
      <c r="F230" s="584" t="s">
        <v>100</v>
      </c>
      <c r="G230" s="584" t="s">
        <v>1550</v>
      </c>
      <c r="H230" s="586" t="s">
        <v>635</v>
      </c>
    </row>
    <row r="231" spans="1:17" ht="15">
      <c r="A231" s="579" t="s">
        <v>636</v>
      </c>
      <c r="B231" s="580" t="s">
        <v>637</v>
      </c>
      <c r="C231" s="581">
        <v>0</v>
      </c>
      <c r="D231" s="581">
        <v>0</v>
      </c>
      <c r="E231" s="580" t="s">
        <v>156</v>
      </c>
      <c r="F231" s="580" t="s">
        <v>100</v>
      </c>
      <c r="G231" s="580" t="s">
        <v>1548</v>
      </c>
      <c r="H231" s="582" t="s">
        <v>100</v>
      </c>
    </row>
    <row r="232" spans="1:17" ht="15">
      <c r="A232" s="583" t="s">
        <v>638</v>
      </c>
      <c r="B232" s="584" t="s">
        <v>639</v>
      </c>
      <c r="C232" s="585">
        <v>0</v>
      </c>
      <c r="D232" s="585">
        <v>0</v>
      </c>
      <c r="E232" s="584" t="s">
        <v>156</v>
      </c>
      <c r="F232" s="584" t="s">
        <v>100</v>
      </c>
      <c r="G232" s="584" t="s">
        <v>1548</v>
      </c>
      <c r="H232" s="586" t="s">
        <v>100</v>
      </c>
    </row>
    <row r="233" spans="1:17" ht="15">
      <c r="A233" s="579" t="s">
        <v>640</v>
      </c>
      <c r="B233" s="580" t="s">
        <v>641</v>
      </c>
      <c r="C233" s="581">
        <v>-1151033.8</v>
      </c>
      <c r="D233" s="581">
        <v>-1671030.05</v>
      </c>
      <c r="E233" s="580" t="s">
        <v>156</v>
      </c>
      <c r="F233" s="580" t="s">
        <v>100</v>
      </c>
      <c r="G233" s="580" t="s">
        <v>1549</v>
      </c>
      <c r="H233" s="582" t="s">
        <v>100</v>
      </c>
    </row>
    <row r="234" spans="1:17" ht="15">
      <c r="A234" s="583" t="s">
        <v>642</v>
      </c>
      <c r="B234" s="584" t="s">
        <v>643</v>
      </c>
      <c r="C234" s="585">
        <v>-46602.19</v>
      </c>
      <c r="D234" s="585">
        <v>-124813.32</v>
      </c>
      <c r="E234" s="584" t="s">
        <v>156</v>
      </c>
      <c r="F234" s="584" t="s">
        <v>100</v>
      </c>
      <c r="G234" s="584" t="s">
        <v>1549</v>
      </c>
      <c r="H234" s="586" t="s">
        <v>100</v>
      </c>
    </row>
    <row r="235" spans="1:17" ht="15">
      <c r="A235" s="579" t="s">
        <v>644</v>
      </c>
      <c r="B235" s="580" t="s">
        <v>645</v>
      </c>
      <c r="C235" s="581">
        <v>0</v>
      </c>
      <c r="D235" s="581">
        <v>0</v>
      </c>
      <c r="E235" s="580" t="s">
        <v>156</v>
      </c>
      <c r="F235" s="580" t="s">
        <v>100</v>
      </c>
      <c r="G235" s="580" t="s">
        <v>1549</v>
      </c>
      <c r="H235" s="582" t="s">
        <v>100</v>
      </c>
    </row>
    <row r="236" spans="1:17" ht="15">
      <c r="A236" s="583" t="s">
        <v>646</v>
      </c>
      <c r="B236" s="584" t="s">
        <v>202</v>
      </c>
      <c r="C236" s="585">
        <v>0</v>
      </c>
      <c r="D236" s="585">
        <v>0</v>
      </c>
      <c r="E236" s="584" t="s">
        <v>156</v>
      </c>
      <c r="F236" s="584" t="s">
        <v>100</v>
      </c>
      <c r="G236" s="584" t="s">
        <v>1549</v>
      </c>
      <c r="H236" s="586" t="s">
        <v>100</v>
      </c>
    </row>
    <row r="237" spans="1:17" ht="15">
      <c r="A237" s="579" t="s">
        <v>647</v>
      </c>
      <c r="B237" s="580" t="s">
        <v>648</v>
      </c>
      <c r="C237" s="581">
        <v>27000</v>
      </c>
      <c r="D237" s="581">
        <v>81192.759999999995</v>
      </c>
      <c r="E237" s="580" t="s">
        <v>156</v>
      </c>
      <c r="F237" s="580" t="s">
        <v>100</v>
      </c>
      <c r="G237" s="580" t="s">
        <v>1549</v>
      </c>
      <c r="H237" s="582" t="s">
        <v>100</v>
      </c>
    </row>
    <row r="238" spans="1:17" ht="15">
      <c r="A238" s="583" t="s">
        <v>649</v>
      </c>
      <c r="B238" s="584" t="s">
        <v>650</v>
      </c>
      <c r="C238" s="585">
        <v>74774.8</v>
      </c>
      <c r="D238" s="585">
        <v>151580.73000000001</v>
      </c>
      <c r="E238" s="584" t="s">
        <v>156</v>
      </c>
      <c r="F238" s="584" t="s">
        <v>100</v>
      </c>
      <c r="G238" s="584" t="s">
        <v>1549</v>
      </c>
      <c r="H238" s="586" t="s">
        <v>100</v>
      </c>
    </row>
    <row r="239" spans="1:17" ht="15">
      <c r="A239" s="579" t="s">
        <v>651</v>
      </c>
      <c r="B239" s="580" t="s">
        <v>652</v>
      </c>
      <c r="C239" s="581">
        <v>97626.62</v>
      </c>
      <c r="D239" s="581">
        <v>245395.07</v>
      </c>
      <c r="E239" s="580" t="s">
        <v>156</v>
      </c>
      <c r="F239" s="580" t="s">
        <v>100</v>
      </c>
      <c r="G239" s="580" t="s">
        <v>1549</v>
      </c>
      <c r="H239" s="582" t="s">
        <v>100</v>
      </c>
    </row>
    <row r="240" spans="1:17" ht="15">
      <c r="A240" s="583" t="s">
        <v>653</v>
      </c>
      <c r="B240" s="584" t="s">
        <v>654</v>
      </c>
      <c r="C240" s="585">
        <v>7390</v>
      </c>
      <c r="D240" s="585">
        <v>8159.66</v>
      </c>
      <c r="E240" s="584" t="s">
        <v>156</v>
      </c>
      <c r="F240" s="584" t="s">
        <v>100</v>
      </c>
      <c r="G240" s="584" t="s">
        <v>1549</v>
      </c>
      <c r="H240" s="586" t="s">
        <v>100</v>
      </c>
    </row>
    <row r="241" spans="1:8" ht="15">
      <c r="A241" s="579" t="s">
        <v>655</v>
      </c>
      <c r="B241" s="580" t="s">
        <v>656</v>
      </c>
      <c r="C241" s="581">
        <v>2525.75</v>
      </c>
      <c r="D241" s="581">
        <v>2525.75</v>
      </c>
      <c r="E241" s="580" t="s">
        <v>156</v>
      </c>
      <c r="F241" s="580" t="s">
        <v>100</v>
      </c>
      <c r="G241" s="580" t="s">
        <v>1549</v>
      </c>
      <c r="H241" s="582" t="s">
        <v>100</v>
      </c>
    </row>
    <row r="242" spans="1:8" ht="15">
      <c r="A242" s="583" t="s">
        <v>657</v>
      </c>
      <c r="B242" s="584" t="s">
        <v>658</v>
      </c>
      <c r="C242" s="585">
        <v>12</v>
      </c>
      <c r="D242" s="585">
        <v>12</v>
      </c>
      <c r="E242" s="584" t="s">
        <v>156</v>
      </c>
      <c r="F242" s="584" t="s">
        <v>100</v>
      </c>
      <c r="G242" s="584" t="s">
        <v>1549</v>
      </c>
      <c r="H242" s="586" t="s">
        <v>100</v>
      </c>
    </row>
    <row r="243" spans="1:8" ht="15">
      <c r="A243" s="579" t="s">
        <v>659</v>
      </c>
      <c r="B243" s="580" t="s">
        <v>660</v>
      </c>
      <c r="C243" s="581">
        <v>425217.25</v>
      </c>
      <c r="D243" s="581">
        <v>551748.06999999995</v>
      </c>
      <c r="E243" s="580" t="s">
        <v>156</v>
      </c>
      <c r="F243" s="580" t="s">
        <v>100</v>
      </c>
      <c r="G243" s="580" t="s">
        <v>1549</v>
      </c>
      <c r="H243" s="582" t="s">
        <v>100</v>
      </c>
    </row>
    <row r="244" spans="1:8" ht="15">
      <c r="A244" s="583" t="s">
        <v>661</v>
      </c>
      <c r="B244" s="584" t="s">
        <v>662</v>
      </c>
      <c r="C244" s="585">
        <v>40</v>
      </c>
      <c r="D244" s="585">
        <v>40</v>
      </c>
      <c r="E244" s="584" t="s">
        <v>156</v>
      </c>
      <c r="F244" s="584" t="s">
        <v>100</v>
      </c>
      <c r="G244" s="584" t="s">
        <v>1549</v>
      </c>
      <c r="H244" s="586" t="s">
        <v>100</v>
      </c>
    </row>
    <row r="245" spans="1:8" ht="15">
      <c r="A245" s="579" t="s">
        <v>663</v>
      </c>
      <c r="B245" s="580" t="s">
        <v>664</v>
      </c>
      <c r="C245" s="581">
        <v>271921.03000000003</v>
      </c>
      <c r="D245" s="581">
        <v>378076.21</v>
      </c>
      <c r="E245" s="580" t="s">
        <v>156</v>
      </c>
      <c r="F245" s="580" t="s">
        <v>100</v>
      </c>
      <c r="G245" s="580" t="s">
        <v>1549</v>
      </c>
      <c r="H245" s="582" t="s">
        <v>100</v>
      </c>
    </row>
    <row r="246" spans="1:8" ht="15">
      <c r="A246" s="583" t="s">
        <v>665</v>
      </c>
      <c r="B246" s="584" t="s">
        <v>666</v>
      </c>
      <c r="C246" s="585">
        <v>0</v>
      </c>
      <c r="D246" s="585">
        <v>19770.34</v>
      </c>
      <c r="E246" s="584" t="s">
        <v>156</v>
      </c>
      <c r="F246" s="584" t="s">
        <v>100</v>
      </c>
      <c r="G246" s="584" t="s">
        <v>1549</v>
      </c>
      <c r="H246" s="586" t="s">
        <v>100</v>
      </c>
    </row>
    <row r="247" spans="1:8" ht="15">
      <c r="A247" s="579" t="s">
        <v>667</v>
      </c>
      <c r="B247" s="580" t="s">
        <v>220</v>
      </c>
      <c r="C247" s="581">
        <v>11812.35</v>
      </c>
      <c r="D247" s="581">
        <v>23622.7</v>
      </c>
      <c r="E247" s="580" t="s">
        <v>156</v>
      </c>
      <c r="F247" s="580" t="s">
        <v>100</v>
      </c>
      <c r="G247" s="580" t="s">
        <v>1549</v>
      </c>
      <c r="H247" s="582" t="s">
        <v>100</v>
      </c>
    </row>
    <row r="248" spans="1:8" ht="15">
      <c r="A248" s="583" t="s">
        <v>668</v>
      </c>
      <c r="B248" s="584" t="s">
        <v>669</v>
      </c>
      <c r="C248" s="585">
        <v>59250</v>
      </c>
      <c r="D248" s="585">
        <v>95093.13</v>
      </c>
      <c r="E248" s="584" t="s">
        <v>156</v>
      </c>
      <c r="F248" s="584" t="s">
        <v>100</v>
      </c>
      <c r="G248" s="584" t="s">
        <v>1549</v>
      </c>
      <c r="H248" s="586" t="s">
        <v>100</v>
      </c>
    </row>
    <row r="249" spans="1:8" ht="15">
      <c r="A249" s="579" t="s">
        <v>670</v>
      </c>
      <c r="B249" s="580" t="s">
        <v>671</v>
      </c>
      <c r="C249" s="581">
        <v>0</v>
      </c>
      <c r="D249" s="581">
        <v>0</v>
      </c>
      <c r="E249" s="580" t="s">
        <v>156</v>
      </c>
      <c r="F249" s="580" t="s">
        <v>100</v>
      </c>
      <c r="G249" s="580" t="s">
        <v>1549</v>
      </c>
      <c r="H249" s="582" t="s">
        <v>100</v>
      </c>
    </row>
    <row r="250" spans="1:8" ht="15">
      <c r="A250" s="583" t="s">
        <v>672</v>
      </c>
      <c r="B250" s="584" t="s">
        <v>1586</v>
      </c>
      <c r="C250" s="585">
        <v>-220066.19</v>
      </c>
      <c r="D250" s="585">
        <v>-238626.95</v>
      </c>
      <c r="E250" s="584" t="s">
        <v>156</v>
      </c>
      <c r="F250" s="584" t="s">
        <v>100</v>
      </c>
      <c r="G250" s="584" t="s">
        <v>1550</v>
      </c>
      <c r="H250" s="586" t="s">
        <v>674</v>
      </c>
    </row>
    <row r="251" spans="1:8" ht="15">
      <c r="A251" s="579" t="s">
        <v>675</v>
      </c>
      <c r="B251" s="580" t="s">
        <v>676</v>
      </c>
      <c r="C251" s="581">
        <v>0</v>
      </c>
      <c r="D251" s="581">
        <v>0</v>
      </c>
      <c r="E251" s="580" t="s">
        <v>156</v>
      </c>
      <c r="F251" s="580" t="s">
        <v>100</v>
      </c>
      <c r="G251" s="580" t="s">
        <v>1548</v>
      </c>
      <c r="H251" s="582" t="s">
        <v>100</v>
      </c>
    </row>
    <row r="252" spans="1:8" ht="15">
      <c r="A252" s="583" t="s">
        <v>677</v>
      </c>
      <c r="B252" s="584" t="s">
        <v>678</v>
      </c>
      <c r="C252" s="585">
        <v>0</v>
      </c>
      <c r="D252" s="585">
        <v>0</v>
      </c>
      <c r="E252" s="584" t="s">
        <v>156</v>
      </c>
      <c r="F252" s="584" t="s">
        <v>100</v>
      </c>
      <c r="G252" s="584" t="s">
        <v>1549</v>
      </c>
      <c r="H252" s="586" t="s">
        <v>100</v>
      </c>
    </row>
    <row r="253" spans="1:8" ht="15">
      <c r="A253" s="579" t="s">
        <v>679</v>
      </c>
      <c r="B253" s="580" t="s">
        <v>680</v>
      </c>
      <c r="C253" s="581">
        <v>0</v>
      </c>
      <c r="D253" s="581">
        <v>0</v>
      </c>
      <c r="E253" s="580" t="s">
        <v>156</v>
      </c>
      <c r="F253" s="580" t="s">
        <v>100</v>
      </c>
      <c r="G253" s="580" t="s">
        <v>1549</v>
      </c>
      <c r="H253" s="582" t="s">
        <v>100</v>
      </c>
    </row>
    <row r="254" spans="1:8" ht="15">
      <c r="A254" s="583" t="s">
        <v>681</v>
      </c>
      <c r="B254" s="584" t="s">
        <v>682</v>
      </c>
      <c r="C254" s="585">
        <v>0</v>
      </c>
      <c r="D254" s="585">
        <v>0</v>
      </c>
      <c r="E254" s="584" t="s">
        <v>156</v>
      </c>
      <c r="F254" s="584" t="s">
        <v>100</v>
      </c>
      <c r="G254" s="584" t="s">
        <v>1550</v>
      </c>
      <c r="H254" s="586" t="s">
        <v>683</v>
      </c>
    </row>
    <row r="255" spans="1:8" ht="15">
      <c r="A255" s="579" t="s">
        <v>684</v>
      </c>
      <c r="B255" s="580" t="s">
        <v>685</v>
      </c>
      <c r="C255" s="581">
        <v>0</v>
      </c>
      <c r="D255" s="581">
        <v>0</v>
      </c>
      <c r="E255" s="580" t="s">
        <v>156</v>
      </c>
      <c r="F255" s="580" t="s">
        <v>100</v>
      </c>
      <c r="G255" s="580" t="s">
        <v>1548</v>
      </c>
      <c r="H255" s="582" t="s">
        <v>100</v>
      </c>
    </row>
    <row r="256" spans="1:8" ht="15">
      <c r="A256" s="583" t="s">
        <v>686</v>
      </c>
      <c r="B256" s="584" t="s">
        <v>687</v>
      </c>
      <c r="C256" s="585">
        <v>120194.23</v>
      </c>
      <c r="D256" s="585">
        <v>154635.03</v>
      </c>
      <c r="E256" s="584" t="s">
        <v>156</v>
      </c>
      <c r="F256" s="584" t="s">
        <v>100</v>
      </c>
      <c r="G256" s="584" t="s">
        <v>1549</v>
      </c>
      <c r="H256" s="586" t="s">
        <v>100</v>
      </c>
    </row>
    <row r="257" spans="1:8" ht="15">
      <c r="A257" s="579" t="s">
        <v>688</v>
      </c>
      <c r="B257" s="580" t="s">
        <v>689</v>
      </c>
      <c r="C257" s="581">
        <v>1470</v>
      </c>
      <c r="D257" s="581">
        <v>5768</v>
      </c>
      <c r="E257" s="580" t="s">
        <v>156</v>
      </c>
      <c r="F257" s="580" t="s">
        <v>100</v>
      </c>
      <c r="G257" s="580" t="s">
        <v>1549</v>
      </c>
      <c r="H257" s="582" t="s">
        <v>100</v>
      </c>
    </row>
    <row r="258" spans="1:8" ht="15">
      <c r="A258" s="583" t="s">
        <v>690</v>
      </c>
      <c r="B258" s="584" t="s">
        <v>691</v>
      </c>
      <c r="C258" s="585">
        <v>99531.91</v>
      </c>
      <c r="D258" s="585">
        <v>99955.21</v>
      </c>
      <c r="E258" s="584" t="s">
        <v>156</v>
      </c>
      <c r="F258" s="584" t="s">
        <v>100</v>
      </c>
      <c r="G258" s="584" t="s">
        <v>1549</v>
      </c>
      <c r="H258" s="586" t="s">
        <v>100</v>
      </c>
    </row>
    <row r="259" spans="1:8" ht="15">
      <c r="A259" s="579" t="s">
        <v>692</v>
      </c>
      <c r="B259" s="580" t="s">
        <v>693</v>
      </c>
      <c r="C259" s="581">
        <v>21281.43</v>
      </c>
      <c r="D259" s="581">
        <v>21588.43</v>
      </c>
      <c r="E259" s="580" t="s">
        <v>156</v>
      </c>
      <c r="F259" s="580" t="s">
        <v>100</v>
      </c>
      <c r="G259" s="580" t="s">
        <v>1549</v>
      </c>
      <c r="H259" s="582" t="s">
        <v>100</v>
      </c>
    </row>
    <row r="260" spans="1:8" ht="15">
      <c r="A260" s="583" t="s">
        <v>694</v>
      </c>
      <c r="B260" s="584" t="s">
        <v>695</v>
      </c>
      <c r="C260" s="585">
        <v>0</v>
      </c>
      <c r="D260" s="585">
        <v>0</v>
      </c>
      <c r="E260" s="584" t="s">
        <v>156</v>
      </c>
      <c r="F260" s="584" t="s">
        <v>100</v>
      </c>
      <c r="G260" s="584" t="s">
        <v>1549</v>
      </c>
      <c r="H260" s="586" t="s">
        <v>100</v>
      </c>
    </row>
    <row r="261" spans="1:8" ht="15">
      <c r="A261" s="579" t="s">
        <v>696</v>
      </c>
      <c r="B261" s="580" t="s">
        <v>697</v>
      </c>
      <c r="C261" s="581">
        <v>242477.57</v>
      </c>
      <c r="D261" s="581">
        <v>281946.67</v>
      </c>
      <c r="E261" s="580" t="s">
        <v>156</v>
      </c>
      <c r="F261" s="580" t="s">
        <v>100</v>
      </c>
      <c r="G261" s="580" t="s">
        <v>1550</v>
      </c>
      <c r="H261" s="582" t="s">
        <v>698</v>
      </c>
    </row>
    <row r="262" spans="1:8" ht="15">
      <c r="A262" s="583" t="s">
        <v>699</v>
      </c>
      <c r="B262" s="584" t="s">
        <v>700</v>
      </c>
      <c r="C262" s="585">
        <v>0</v>
      </c>
      <c r="D262" s="585">
        <v>0</v>
      </c>
      <c r="E262" s="584" t="s">
        <v>156</v>
      </c>
      <c r="F262" s="584" t="s">
        <v>100</v>
      </c>
      <c r="G262" s="584" t="s">
        <v>1548</v>
      </c>
      <c r="H262" s="586" t="s">
        <v>100</v>
      </c>
    </row>
    <row r="263" spans="1:8" ht="15">
      <c r="A263" s="579" t="s">
        <v>701</v>
      </c>
      <c r="B263" s="580" t="s">
        <v>702</v>
      </c>
      <c r="C263" s="581">
        <v>0</v>
      </c>
      <c r="D263" s="581">
        <v>0</v>
      </c>
      <c r="E263" s="580" t="s">
        <v>156</v>
      </c>
      <c r="F263" s="580" t="s">
        <v>100</v>
      </c>
      <c r="G263" s="580" t="s">
        <v>1549</v>
      </c>
      <c r="H263" s="582" t="s">
        <v>100</v>
      </c>
    </row>
    <row r="264" spans="1:8" ht="15">
      <c r="A264" s="583" t="s">
        <v>703</v>
      </c>
      <c r="B264" s="584" t="s">
        <v>704</v>
      </c>
      <c r="C264" s="585">
        <v>0</v>
      </c>
      <c r="D264" s="585">
        <v>0</v>
      </c>
      <c r="E264" s="584" t="s">
        <v>156</v>
      </c>
      <c r="F264" s="584" t="s">
        <v>100</v>
      </c>
      <c r="G264" s="584" t="s">
        <v>1549</v>
      </c>
      <c r="H264" s="586" t="s">
        <v>100</v>
      </c>
    </row>
    <row r="265" spans="1:8" ht="15">
      <c r="A265" s="579" t="s">
        <v>705</v>
      </c>
      <c r="B265" s="580" t="s">
        <v>664</v>
      </c>
      <c r="C265" s="581">
        <v>0</v>
      </c>
      <c r="D265" s="581">
        <v>203.7</v>
      </c>
      <c r="E265" s="580" t="s">
        <v>156</v>
      </c>
      <c r="F265" s="580" t="s">
        <v>100</v>
      </c>
      <c r="G265" s="580" t="s">
        <v>1549</v>
      </c>
      <c r="H265" s="582" t="s">
        <v>100</v>
      </c>
    </row>
    <row r="266" spans="1:8" ht="15">
      <c r="A266" s="583" t="s">
        <v>706</v>
      </c>
      <c r="B266" s="584" t="s">
        <v>707</v>
      </c>
      <c r="C266" s="585">
        <v>0</v>
      </c>
      <c r="D266" s="585">
        <v>2092</v>
      </c>
      <c r="E266" s="584" t="s">
        <v>156</v>
      </c>
      <c r="F266" s="584" t="s">
        <v>100</v>
      </c>
      <c r="G266" s="584" t="s">
        <v>1549</v>
      </c>
      <c r="H266" s="586" t="s">
        <v>100</v>
      </c>
    </row>
    <row r="267" spans="1:8" ht="15">
      <c r="A267" s="579" t="s">
        <v>708</v>
      </c>
      <c r="B267" s="580" t="s">
        <v>709</v>
      </c>
      <c r="C267" s="581">
        <v>0</v>
      </c>
      <c r="D267" s="581">
        <v>531</v>
      </c>
      <c r="E267" s="580" t="s">
        <v>156</v>
      </c>
      <c r="F267" s="580" t="s">
        <v>100</v>
      </c>
      <c r="G267" s="580" t="s">
        <v>1549</v>
      </c>
      <c r="H267" s="582" t="s">
        <v>100</v>
      </c>
    </row>
    <row r="268" spans="1:8" ht="15">
      <c r="A268" s="583" t="s">
        <v>710</v>
      </c>
      <c r="B268" s="584" t="s">
        <v>711</v>
      </c>
      <c r="C268" s="585">
        <v>1328.13</v>
      </c>
      <c r="D268" s="585">
        <v>1328.13</v>
      </c>
      <c r="E268" s="584" t="s">
        <v>156</v>
      </c>
      <c r="F268" s="584" t="s">
        <v>100</v>
      </c>
      <c r="G268" s="584" t="s">
        <v>1549</v>
      </c>
      <c r="H268" s="586" t="s">
        <v>100</v>
      </c>
    </row>
    <row r="269" spans="1:8" ht="15">
      <c r="A269" s="579" t="s">
        <v>712</v>
      </c>
      <c r="B269" s="580" t="s">
        <v>713</v>
      </c>
      <c r="C269" s="581">
        <v>1328.13</v>
      </c>
      <c r="D269" s="581">
        <v>4154.83</v>
      </c>
      <c r="E269" s="580" t="s">
        <v>156</v>
      </c>
      <c r="F269" s="580" t="s">
        <v>100</v>
      </c>
      <c r="G269" s="580" t="s">
        <v>1550</v>
      </c>
      <c r="H269" s="582" t="s">
        <v>714</v>
      </c>
    </row>
    <row r="270" spans="1:8" ht="15">
      <c r="A270" s="583" t="s">
        <v>715</v>
      </c>
      <c r="B270" s="584" t="s">
        <v>716</v>
      </c>
      <c r="C270" s="585">
        <v>23739.51</v>
      </c>
      <c r="D270" s="585">
        <v>47474.55</v>
      </c>
      <c r="E270" s="584" t="s">
        <v>156</v>
      </c>
      <c r="F270" s="584" t="s">
        <v>100</v>
      </c>
      <c r="G270" s="584" t="s">
        <v>1550</v>
      </c>
      <c r="H270" s="586" t="s">
        <v>717</v>
      </c>
    </row>
    <row r="271" spans="1:8" ht="15">
      <c r="A271" s="579" t="s">
        <v>718</v>
      </c>
      <c r="B271" s="580" t="s">
        <v>719</v>
      </c>
      <c r="C271" s="581">
        <v>0</v>
      </c>
      <c r="D271" s="581">
        <v>0</v>
      </c>
      <c r="E271" s="580" t="s">
        <v>156</v>
      </c>
      <c r="F271" s="580" t="s">
        <v>100</v>
      </c>
      <c r="G271" s="580" t="s">
        <v>1548</v>
      </c>
      <c r="H271" s="582" t="s">
        <v>100</v>
      </c>
    </row>
    <row r="272" spans="1:8" ht="15">
      <c r="A272" s="583" t="s">
        <v>720</v>
      </c>
      <c r="B272" s="584" t="s">
        <v>721</v>
      </c>
      <c r="C272" s="585">
        <v>0</v>
      </c>
      <c r="D272" s="585">
        <v>0</v>
      </c>
      <c r="E272" s="584" t="s">
        <v>156</v>
      </c>
      <c r="F272" s="584" t="s">
        <v>100</v>
      </c>
      <c r="G272" s="584" t="s">
        <v>1548</v>
      </c>
      <c r="H272" s="586" t="s">
        <v>100</v>
      </c>
    </row>
    <row r="273" spans="1:8" ht="15">
      <c r="A273" s="579" t="s">
        <v>722</v>
      </c>
      <c r="B273" s="580" t="s">
        <v>723</v>
      </c>
      <c r="C273" s="581">
        <v>-56338.16</v>
      </c>
      <c r="D273" s="581">
        <v>-56338.16</v>
      </c>
      <c r="E273" s="580" t="s">
        <v>156</v>
      </c>
      <c r="F273" s="580" t="s">
        <v>100</v>
      </c>
      <c r="G273" s="580" t="s">
        <v>1549</v>
      </c>
      <c r="H273" s="582" t="s">
        <v>100</v>
      </c>
    </row>
    <row r="274" spans="1:8" ht="15">
      <c r="A274" s="583" t="s">
        <v>724</v>
      </c>
      <c r="B274" s="584" t="s">
        <v>725</v>
      </c>
      <c r="C274" s="585">
        <v>-0.6</v>
      </c>
      <c r="D274" s="585">
        <v>-0.6</v>
      </c>
      <c r="E274" s="584" t="s">
        <v>156</v>
      </c>
      <c r="F274" s="584" t="s">
        <v>100</v>
      </c>
      <c r="G274" s="584" t="s">
        <v>1549</v>
      </c>
      <c r="H274" s="586" t="s">
        <v>100</v>
      </c>
    </row>
    <row r="275" spans="1:8" ht="15">
      <c r="A275" s="579" t="s">
        <v>726</v>
      </c>
      <c r="B275" s="580" t="s">
        <v>727</v>
      </c>
      <c r="C275" s="581">
        <v>-106880</v>
      </c>
      <c r="D275" s="581">
        <v>-125680</v>
      </c>
      <c r="E275" s="580" t="s">
        <v>156</v>
      </c>
      <c r="F275" s="580" t="s">
        <v>100</v>
      </c>
      <c r="G275" s="580" t="s">
        <v>1549</v>
      </c>
      <c r="H275" s="582" t="s">
        <v>100</v>
      </c>
    </row>
    <row r="276" spans="1:8" ht="15">
      <c r="A276" s="583" t="s">
        <v>728</v>
      </c>
      <c r="B276" s="584" t="s">
        <v>729</v>
      </c>
      <c r="C276" s="585">
        <v>177486.19</v>
      </c>
      <c r="D276" s="585">
        <v>235551.33</v>
      </c>
      <c r="E276" s="584" t="s">
        <v>156</v>
      </c>
      <c r="F276" s="584" t="s">
        <v>100</v>
      </c>
      <c r="G276" s="584" t="s">
        <v>1549</v>
      </c>
      <c r="H276" s="586" t="s">
        <v>100</v>
      </c>
    </row>
    <row r="277" spans="1:8" ht="15">
      <c r="A277" s="579" t="s">
        <v>730</v>
      </c>
      <c r="B277" s="580" t="s">
        <v>731</v>
      </c>
      <c r="C277" s="581">
        <v>0</v>
      </c>
      <c r="D277" s="581">
        <v>0</v>
      </c>
      <c r="E277" s="580" t="s">
        <v>156</v>
      </c>
      <c r="F277" s="580" t="s">
        <v>100</v>
      </c>
      <c r="G277" s="580" t="s">
        <v>1549</v>
      </c>
      <c r="H277" s="582" t="s">
        <v>100</v>
      </c>
    </row>
    <row r="278" spans="1:8" ht="15">
      <c r="A278" s="583" t="s">
        <v>732</v>
      </c>
      <c r="B278" s="584" t="s">
        <v>733</v>
      </c>
      <c r="C278" s="585">
        <v>0</v>
      </c>
      <c r="D278" s="585">
        <v>0</v>
      </c>
      <c r="E278" s="584" t="s">
        <v>156</v>
      </c>
      <c r="F278" s="584" t="s">
        <v>100</v>
      </c>
      <c r="G278" s="584" t="s">
        <v>1549</v>
      </c>
      <c r="H278" s="586" t="s">
        <v>100</v>
      </c>
    </row>
    <row r="279" spans="1:8" ht="15">
      <c r="A279" s="579" t="s">
        <v>734</v>
      </c>
      <c r="B279" s="580" t="s">
        <v>735</v>
      </c>
      <c r="C279" s="581">
        <v>0</v>
      </c>
      <c r="D279" s="581">
        <v>0</v>
      </c>
      <c r="E279" s="580" t="s">
        <v>156</v>
      </c>
      <c r="F279" s="580" t="s">
        <v>100</v>
      </c>
      <c r="G279" s="580" t="s">
        <v>1549</v>
      </c>
      <c r="H279" s="582" t="s">
        <v>100</v>
      </c>
    </row>
    <row r="280" spans="1:8" ht="15">
      <c r="A280" s="583" t="s">
        <v>736</v>
      </c>
      <c r="B280" s="584" t="s">
        <v>737</v>
      </c>
      <c r="C280" s="585">
        <v>4006.75</v>
      </c>
      <c r="D280" s="585">
        <v>4006.75</v>
      </c>
      <c r="E280" s="584" t="s">
        <v>156</v>
      </c>
      <c r="F280" s="584" t="s">
        <v>100</v>
      </c>
      <c r="G280" s="584" t="s">
        <v>1549</v>
      </c>
      <c r="H280" s="586" t="s">
        <v>100</v>
      </c>
    </row>
    <row r="281" spans="1:8" ht="15">
      <c r="A281" s="579" t="s">
        <v>738</v>
      </c>
      <c r="B281" s="580" t="s">
        <v>739</v>
      </c>
      <c r="C281" s="581">
        <v>0</v>
      </c>
      <c r="D281" s="581">
        <v>0</v>
      </c>
      <c r="E281" s="580" t="s">
        <v>156</v>
      </c>
      <c r="F281" s="580" t="s">
        <v>100</v>
      </c>
      <c r="G281" s="580" t="s">
        <v>1549</v>
      </c>
      <c r="H281" s="582" t="s">
        <v>100</v>
      </c>
    </row>
    <row r="282" spans="1:8" ht="15">
      <c r="A282" s="583" t="s">
        <v>740</v>
      </c>
      <c r="B282" s="584" t="s">
        <v>741</v>
      </c>
      <c r="C282" s="585">
        <v>10847.34</v>
      </c>
      <c r="D282" s="585">
        <v>10847.34</v>
      </c>
      <c r="E282" s="584" t="s">
        <v>156</v>
      </c>
      <c r="F282" s="584" t="s">
        <v>100</v>
      </c>
      <c r="G282" s="584" t="s">
        <v>1549</v>
      </c>
      <c r="H282" s="586" t="s">
        <v>100</v>
      </c>
    </row>
    <row r="283" spans="1:8" ht="15">
      <c r="A283" s="579" t="s">
        <v>742</v>
      </c>
      <c r="B283" s="580" t="s">
        <v>743</v>
      </c>
      <c r="C283" s="581">
        <v>4793.25</v>
      </c>
      <c r="D283" s="581">
        <v>4793.25</v>
      </c>
      <c r="E283" s="580" t="s">
        <v>156</v>
      </c>
      <c r="F283" s="580" t="s">
        <v>100</v>
      </c>
      <c r="G283" s="580" t="s">
        <v>1549</v>
      </c>
      <c r="H283" s="582" t="s">
        <v>100</v>
      </c>
    </row>
    <row r="284" spans="1:8" ht="15">
      <c r="A284" s="583" t="s">
        <v>744</v>
      </c>
      <c r="B284" s="584" t="s">
        <v>536</v>
      </c>
      <c r="C284" s="585">
        <v>29914.17</v>
      </c>
      <c r="D284" s="585">
        <v>29914.17</v>
      </c>
      <c r="E284" s="584" t="s">
        <v>156</v>
      </c>
      <c r="F284" s="584" t="s">
        <v>100</v>
      </c>
      <c r="G284" s="584" t="s">
        <v>1549</v>
      </c>
      <c r="H284" s="586" t="s">
        <v>100</v>
      </c>
    </row>
    <row r="285" spans="1:8" ht="15">
      <c r="A285" s="579" t="s">
        <v>745</v>
      </c>
      <c r="B285" s="580" t="s">
        <v>746</v>
      </c>
      <c r="C285" s="581">
        <v>33472.31</v>
      </c>
      <c r="D285" s="581">
        <v>33472.31</v>
      </c>
      <c r="E285" s="580" t="s">
        <v>156</v>
      </c>
      <c r="F285" s="580" t="s">
        <v>100</v>
      </c>
      <c r="G285" s="580" t="s">
        <v>1549</v>
      </c>
      <c r="H285" s="582" t="s">
        <v>100</v>
      </c>
    </row>
    <row r="286" spans="1:8" ht="15">
      <c r="A286" s="583" t="s">
        <v>747</v>
      </c>
      <c r="B286" s="584" t="s">
        <v>748</v>
      </c>
      <c r="C286" s="585">
        <v>17250</v>
      </c>
      <c r="D286" s="585">
        <v>17250</v>
      </c>
      <c r="E286" s="584" t="s">
        <v>156</v>
      </c>
      <c r="F286" s="584" t="s">
        <v>100</v>
      </c>
      <c r="G286" s="584" t="s">
        <v>1549</v>
      </c>
      <c r="H286" s="586" t="s">
        <v>100</v>
      </c>
    </row>
    <row r="287" spans="1:8" ht="15">
      <c r="A287" s="579" t="s">
        <v>749</v>
      </c>
      <c r="B287" s="580" t="s">
        <v>750</v>
      </c>
      <c r="C287" s="581">
        <v>56400</v>
      </c>
      <c r="D287" s="581">
        <v>56400</v>
      </c>
      <c r="E287" s="580" t="s">
        <v>156</v>
      </c>
      <c r="F287" s="580" t="s">
        <v>100</v>
      </c>
      <c r="G287" s="580" t="s">
        <v>1549</v>
      </c>
      <c r="H287" s="582" t="s">
        <v>100</v>
      </c>
    </row>
    <row r="288" spans="1:8" ht="15">
      <c r="A288" s="583" t="s">
        <v>751</v>
      </c>
      <c r="B288" s="584" t="s">
        <v>752</v>
      </c>
      <c r="C288" s="585">
        <v>72326.16</v>
      </c>
      <c r="D288" s="585">
        <v>72326.16</v>
      </c>
      <c r="E288" s="584" t="s">
        <v>156</v>
      </c>
      <c r="F288" s="584" t="s">
        <v>100</v>
      </c>
      <c r="G288" s="584" t="s">
        <v>1549</v>
      </c>
      <c r="H288" s="586" t="s">
        <v>100</v>
      </c>
    </row>
    <row r="289" spans="1:8" ht="15">
      <c r="A289" s="579" t="s">
        <v>753</v>
      </c>
      <c r="B289" s="580" t="s">
        <v>220</v>
      </c>
      <c r="C289" s="581">
        <v>25498.07</v>
      </c>
      <c r="D289" s="581">
        <v>26005.75</v>
      </c>
      <c r="E289" s="580" t="s">
        <v>156</v>
      </c>
      <c r="F289" s="580" t="s">
        <v>100</v>
      </c>
      <c r="G289" s="580" t="s">
        <v>1549</v>
      </c>
      <c r="H289" s="582" t="s">
        <v>100</v>
      </c>
    </row>
    <row r="290" spans="1:8" ht="15">
      <c r="A290" s="583" t="s">
        <v>754</v>
      </c>
      <c r="B290" s="584" t="s">
        <v>755</v>
      </c>
      <c r="C290" s="585">
        <v>-169.59</v>
      </c>
      <c r="D290" s="585">
        <v>-169.59</v>
      </c>
      <c r="E290" s="584" t="s">
        <v>156</v>
      </c>
      <c r="F290" s="584" t="s">
        <v>100</v>
      </c>
      <c r="G290" s="584" t="s">
        <v>1549</v>
      </c>
      <c r="H290" s="586" t="s">
        <v>100</v>
      </c>
    </row>
    <row r="291" spans="1:8" ht="15">
      <c r="A291" s="579" t="s">
        <v>756</v>
      </c>
      <c r="B291" s="580" t="s">
        <v>757</v>
      </c>
      <c r="C291" s="581">
        <v>0</v>
      </c>
      <c r="D291" s="581">
        <v>0</v>
      </c>
      <c r="E291" s="580" t="s">
        <v>156</v>
      </c>
      <c r="F291" s="580" t="s">
        <v>100</v>
      </c>
      <c r="G291" s="580" t="s">
        <v>1549</v>
      </c>
      <c r="H291" s="582" t="s">
        <v>100</v>
      </c>
    </row>
    <row r="292" spans="1:8" ht="15">
      <c r="A292" s="583" t="s">
        <v>758</v>
      </c>
      <c r="B292" s="584" t="s">
        <v>759</v>
      </c>
      <c r="C292" s="585">
        <v>268605.89</v>
      </c>
      <c r="D292" s="585">
        <v>308378.71000000002</v>
      </c>
      <c r="E292" s="584" t="s">
        <v>156</v>
      </c>
      <c r="F292" s="584" t="s">
        <v>100</v>
      </c>
      <c r="G292" s="584" t="s">
        <v>1550</v>
      </c>
      <c r="H292" s="586" t="s">
        <v>760</v>
      </c>
    </row>
    <row r="293" spans="1:8" ht="15">
      <c r="A293" s="579" t="s">
        <v>761</v>
      </c>
      <c r="B293" s="580" t="s">
        <v>762</v>
      </c>
      <c r="C293" s="581">
        <v>0</v>
      </c>
      <c r="D293" s="581">
        <v>0</v>
      </c>
      <c r="E293" s="580" t="s">
        <v>156</v>
      </c>
      <c r="F293" s="580" t="s">
        <v>100</v>
      </c>
      <c r="G293" s="580" t="s">
        <v>1548</v>
      </c>
      <c r="H293" s="582" t="s">
        <v>100</v>
      </c>
    </row>
    <row r="294" spans="1:8" ht="15">
      <c r="A294" s="583" t="s">
        <v>763</v>
      </c>
      <c r="B294" s="584" t="s">
        <v>764</v>
      </c>
      <c r="C294" s="585">
        <v>288828.78000000003</v>
      </c>
      <c r="D294" s="585">
        <v>288828.78000000003</v>
      </c>
      <c r="E294" s="584" t="s">
        <v>156</v>
      </c>
      <c r="F294" s="584" t="s">
        <v>100</v>
      </c>
      <c r="G294" s="584" t="s">
        <v>1549</v>
      </c>
      <c r="H294" s="586" t="s">
        <v>100</v>
      </c>
    </row>
    <row r="295" spans="1:8" ht="15">
      <c r="A295" s="579" t="s">
        <v>765</v>
      </c>
      <c r="B295" s="580" t="s">
        <v>766</v>
      </c>
      <c r="C295" s="581">
        <v>0</v>
      </c>
      <c r="D295" s="581">
        <v>0</v>
      </c>
      <c r="E295" s="580" t="s">
        <v>156</v>
      </c>
      <c r="F295" s="580" t="s">
        <v>100</v>
      </c>
      <c r="G295" s="580" t="s">
        <v>1549</v>
      </c>
      <c r="H295" s="582" t="s">
        <v>100</v>
      </c>
    </row>
    <row r="296" spans="1:8" ht="15">
      <c r="A296" s="583" t="s">
        <v>767</v>
      </c>
      <c r="B296" s="584" t="s">
        <v>768</v>
      </c>
      <c r="C296" s="585">
        <v>116196.22</v>
      </c>
      <c r="D296" s="585">
        <v>116414.37</v>
      </c>
      <c r="E296" s="584" t="s">
        <v>156</v>
      </c>
      <c r="F296" s="584" t="s">
        <v>100</v>
      </c>
      <c r="G296" s="584" t="s">
        <v>1549</v>
      </c>
      <c r="H296" s="586" t="s">
        <v>100</v>
      </c>
    </row>
    <row r="297" spans="1:8" ht="15">
      <c r="A297" s="579" t="s">
        <v>769</v>
      </c>
      <c r="B297" s="580" t="s">
        <v>770</v>
      </c>
      <c r="C297" s="581">
        <v>2317.1</v>
      </c>
      <c r="D297" s="581">
        <v>2317.1</v>
      </c>
      <c r="E297" s="580" t="s">
        <v>156</v>
      </c>
      <c r="F297" s="580" t="s">
        <v>100</v>
      </c>
      <c r="G297" s="580" t="s">
        <v>1549</v>
      </c>
      <c r="H297" s="582" t="s">
        <v>100</v>
      </c>
    </row>
    <row r="298" spans="1:8" ht="15">
      <c r="A298" s="583" t="s">
        <v>771</v>
      </c>
      <c r="B298" s="584" t="s">
        <v>772</v>
      </c>
      <c r="C298" s="585">
        <v>-299.07</v>
      </c>
      <c r="D298" s="585">
        <v>-299.07</v>
      </c>
      <c r="E298" s="584" t="s">
        <v>156</v>
      </c>
      <c r="F298" s="584" t="s">
        <v>100</v>
      </c>
      <c r="G298" s="584" t="s">
        <v>1549</v>
      </c>
      <c r="H298" s="586" t="s">
        <v>100</v>
      </c>
    </row>
    <row r="299" spans="1:8" ht="15">
      <c r="A299" s="579" t="s">
        <v>773</v>
      </c>
      <c r="B299" s="580" t="s">
        <v>774</v>
      </c>
      <c r="C299" s="581">
        <v>0</v>
      </c>
      <c r="D299" s="581">
        <v>-50903.86</v>
      </c>
      <c r="E299" s="580" t="s">
        <v>156</v>
      </c>
      <c r="F299" s="580" t="s">
        <v>100</v>
      </c>
      <c r="G299" s="580" t="s">
        <v>1549</v>
      </c>
      <c r="H299" s="582" t="s">
        <v>100</v>
      </c>
    </row>
    <row r="300" spans="1:8" ht="15">
      <c r="A300" s="583" t="s">
        <v>775</v>
      </c>
      <c r="B300" s="584" t="s">
        <v>776</v>
      </c>
      <c r="C300" s="585">
        <v>407043.03</v>
      </c>
      <c r="D300" s="585">
        <v>356357.32</v>
      </c>
      <c r="E300" s="584" t="s">
        <v>156</v>
      </c>
      <c r="F300" s="584" t="s">
        <v>100</v>
      </c>
      <c r="G300" s="584" t="s">
        <v>1550</v>
      </c>
      <c r="H300" s="586" t="s">
        <v>777</v>
      </c>
    </row>
    <row r="301" spans="1:8" ht="15">
      <c r="A301" s="579" t="s">
        <v>778</v>
      </c>
      <c r="B301" s="580" t="s">
        <v>779</v>
      </c>
      <c r="C301" s="581">
        <v>0</v>
      </c>
      <c r="D301" s="581">
        <v>0</v>
      </c>
      <c r="E301" s="580" t="s">
        <v>156</v>
      </c>
      <c r="F301" s="580" t="s">
        <v>100</v>
      </c>
      <c r="G301" s="580" t="s">
        <v>1548</v>
      </c>
      <c r="H301" s="582" t="s">
        <v>100</v>
      </c>
    </row>
    <row r="302" spans="1:8" ht="15">
      <c r="A302" s="583" t="s">
        <v>780</v>
      </c>
      <c r="B302" s="584" t="s">
        <v>781</v>
      </c>
      <c r="C302" s="585">
        <v>94031</v>
      </c>
      <c r="D302" s="585">
        <v>94031</v>
      </c>
      <c r="E302" s="584" t="s">
        <v>156</v>
      </c>
      <c r="F302" s="584" t="s">
        <v>100</v>
      </c>
      <c r="G302" s="584" t="s">
        <v>1549</v>
      </c>
      <c r="H302" s="586" t="s">
        <v>100</v>
      </c>
    </row>
    <row r="303" spans="1:8" ht="15">
      <c r="A303" s="579" t="s">
        <v>782</v>
      </c>
      <c r="B303" s="580" t="s">
        <v>446</v>
      </c>
      <c r="C303" s="581">
        <v>70466.490000000005</v>
      </c>
      <c r="D303" s="581">
        <v>70466.490000000005</v>
      </c>
      <c r="E303" s="580" t="s">
        <v>156</v>
      </c>
      <c r="F303" s="580" t="s">
        <v>100</v>
      </c>
      <c r="G303" s="580" t="s">
        <v>1549</v>
      </c>
      <c r="H303" s="582" t="s">
        <v>100</v>
      </c>
    </row>
    <row r="304" spans="1:8" ht="15">
      <c r="A304" s="583" t="s">
        <v>783</v>
      </c>
      <c r="B304" s="584" t="s">
        <v>784</v>
      </c>
      <c r="C304" s="585">
        <v>0</v>
      </c>
      <c r="D304" s="585">
        <v>0</v>
      </c>
      <c r="E304" s="584" t="s">
        <v>156</v>
      </c>
      <c r="F304" s="584" t="s">
        <v>100</v>
      </c>
      <c r="G304" s="584" t="s">
        <v>1549</v>
      </c>
      <c r="H304" s="586" t="s">
        <v>100</v>
      </c>
    </row>
    <row r="305" spans="1:8" ht="15">
      <c r="A305" s="579" t="s">
        <v>785</v>
      </c>
      <c r="B305" s="580" t="s">
        <v>786</v>
      </c>
      <c r="C305" s="581">
        <v>164497.49</v>
      </c>
      <c r="D305" s="581">
        <v>164497.49</v>
      </c>
      <c r="E305" s="580" t="s">
        <v>156</v>
      </c>
      <c r="F305" s="580" t="s">
        <v>100</v>
      </c>
      <c r="G305" s="580" t="s">
        <v>1550</v>
      </c>
      <c r="H305" s="582" t="s">
        <v>787</v>
      </c>
    </row>
    <row r="306" spans="1:8" ht="15">
      <c r="A306" s="583" t="s">
        <v>788</v>
      </c>
      <c r="B306" s="584" t="s">
        <v>789</v>
      </c>
      <c r="C306" s="585">
        <v>0</v>
      </c>
      <c r="D306" s="585">
        <v>0</v>
      </c>
      <c r="E306" s="584" t="s">
        <v>156</v>
      </c>
      <c r="F306" s="584" t="s">
        <v>100</v>
      </c>
      <c r="G306" s="584" t="s">
        <v>1548</v>
      </c>
      <c r="H306" s="586" t="s">
        <v>100</v>
      </c>
    </row>
    <row r="307" spans="1:8" ht="15">
      <c r="A307" s="579" t="s">
        <v>790</v>
      </c>
      <c r="B307" s="580" t="s">
        <v>733</v>
      </c>
      <c r="C307" s="581">
        <v>0</v>
      </c>
      <c r="D307" s="581">
        <v>0</v>
      </c>
      <c r="E307" s="580" t="s">
        <v>156</v>
      </c>
      <c r="F307" s="580" t="s">
        <v>100</v>
      </c>
      <c r="G307" s="580" t="s">
        <v>1548</v>
      </c>
      <c r="H307" s="582" t="s">
        <v>100</v>
      </c>
    </row>
    <row r="308" spans="1:8" ht="15">
      <c r="A308" s="583" t="s">
        <v>791</v>
      </c>
      <c r="B308" s="584" t="s">
        <v>792</v>
      </c>
      <c r="C308" s="585">
        <v>8585.7999999999993</v>
      </c>
      <c r="D308" s="585">
        <v>8585.7999999999993</v>
      </c>
      <c r="E308" s="584" t="s">
        <v>156</v>
      </c>
      <c r="F308" s="584" t="s">
        <v>100</v>
      </c>
      <c r="G308" s="584" t="s">
        <v>1549</v>
      </c>
      <c r="H308" s="586" t="s">
        <v>100</v>
      </c>
    </row>
    <row r="309" spans="1:8" ht="15">
      <c r="A309" s="579" t="s">
        <v>793</v>
      </c>
      <c r="B309" s="580" t="s">
        <v>1587</v>
      </c>
      <c r="C309" s="581">
        <v>94629.47</v>
      </c>
      <c r="D309" s="581">
        <v>107563.87</v>
      </c>
      <c r="E309" s="580" t="s">
        <v>156</v>
      </c>
      <c r="F309" s="580" t="s">
        <v>100</v>
      </c>
      <c r="G309" s="580" t="s">
        <v>1549</v>
      </c>
      <c r="H309" s="582" t="s">
        <v>100</v>
      </c>
    </row>
    <row r="310" spans="1:8" ht="15">
      <c r="A310" s="583" t="s">
        <v>795</v>
      </c>
      <c r="B310" s="584" t="s">
        <v>796</v>
      </c>
      <c r="C310" s="585">
        <v>144710.54999999999</v>
      </c>
      <c r="D310" s="585">
        <v>165673.69</v>
      </c>
      <c r="E310" s="584" t="s">
        <v>156</v>
      </c>
      <c r="F310" s="584" t="s">
        <v>100</v>
      </c>
      <c r="G310" s="584" t="s">
        <v>1549</v>
      </c>
      <c r="H310" s="586" t="s">
        <v>100</v>
      </c>
    </row>
    <row r="311" spans="1:8" ht="15">
      <c r="A311" s="579" t="s">
        <v>797</v>
      </c>
      <c r="B311" s="580" t="s">
        <v>1588</v>
      </c>
      <c r="C311" s="581">
        <v>0</v>
      </c>
      <c r="D311" s="581">
        <v>0</v>
      </c>
      <c r="E311" s="580" t="s">
        <v>156</v>
      </c>
      <c r="F311" s="580" t="s">
        <v>100</v>
      </c>
      <c r="G311" s="580" t="s">
        <v>1549</v>
      </c>
      <c r="H311" s="582" t="s">
        <v>100</v>
      </c>
    </row>
    <row r="312" spans="1:8" ht="15">
      <c r="A312" s="583" t="s">
        <v>799</v>
      </c>
      <c r="B312" s="584" t="s">
        <v>798</v>
      </c>
      <c r="C312" s="585">
        <v>179202.46</v>
      </c>
      <c r="D312" s="585">
        <v>179202.46</v>
      </c>
      <c r="E312" s="584" t="s">
        <v>156</v>
      </c>
      <c r="F312" s="584" t="s">
        <v>100</v>
      </c>
      <c r="G312" s="584" t="s">
        <v>1549</v>
      </c>
      <c r="H312" s="586" t="s">
        <v>100</v>
      </c>
    </row>
    <row r="313" spans="1:8" ht="15">
      <c r="A313" s="579" t="s">
        <v>801</v>
      </c>
      <c r="B313" s="580" t="s">
        <v>802</v>
      </c>
      <c r="C313" s="581">
        <v>53402.67</v>
      </c>
      <c r="D313" s="581">
        <v>57301.79</v>
      </c>
      <c r="E313" s="580" t="s">
        <v>156</v>
      </c>
      <c r="F313" s="580" t="s">
        <v>100</v>
      </c>
      <c r="G313" s="580" t="s">
        <v>1549</v>
      </c>
      <c r="H313" s="582" t="s">
        <v>100</v>
      </c>
    </row>
    <row r="314" spans="1:8" ht="15">
      <c r="A314" s="583" t="s">
        <v>803</v>
      </c>
      <c r="B314" s="584" t="s">
        <v>804</v>
      </c>
      <c r="C314" s="585">
        <v>652711.11</v>
      </c>
      <c r="D314" s="585">
        <v>736513.22</v>
      </c>
      <c r="E314" s="584" t="s">
        <v>156</v>
      </c>
      <c r="F314" s="584" t="s">
        <v>100</v>
      </c>
      <c r="G314" s="584" t="s">
        <v>1549</v>
      </c>
      <c r="H314" s="586" t="s">
        <v>100</v>
      </c>
    </row>
    <row r="315" spans="1:8" ht="15">
      <c r="A315" s="579" t="s">
        <v>1590</v>
      </c>
      <c r="B315" s="580" t="s">
        <v>1591</v>
      </c>
      <c r="C315" s="581">
        <v>56667.79</v>
      </c>
      <c r="D315" s="581">
        <v>56667.79</v>
      </c>
      <c r="E315" s="580" t="s">
        <v>156</v>
      </c>
      <c r="F315" s="580" t="s">
        <v>100</v>
      </c>
      <c r="G315" s="580" t="s">
        <v>1549</v>
      </c>
      <c r="H315" s="582" t="s">
        <v>100</v>
      </c>
    </row>
    <row r="316" spans="1:8" ht="15">
      <c r="A316" s="583" t="s">
        <v>805</v>
      </c>
      <c r="B316" s="584" t="s">
        <v>806</v>
      </c>
      <c r="C316" s="585">
        <v>1189909.8500000001</v>
      </c>
      <c r="D316" s="585">
        <v>1311508.6200000001</v>
      </c>
      <c r="E316" s="584" t="s">
        <v>156</v>
      </c>
      <c r="F316" s="584" t="s">
        <v>100</v>
      </c>
      <c r="G316" s="584" t="s">
        <v>1550</v>
      </c>
      <c r="H316" s="586" t="s">
        <v>807</v>
      </c>
    </row>
    <row r="317" spans="1:8" ht="15">
      <c r="A317" s="579" t="s">
        <v>808</v>
      </c>
      <c r="B317" s="580" t="s">
        <v>735</v>
      </c>
      <c r="C317" s="581">
        <v>0</v>
      </c>
      <c r="D317" s="581">
        <v>0</v>
      </c>
      <c r="E317" s="580" t="s">
        <v>156</v>
      </c>
      <c r="F317" s="580" t="s">
        <v>100</v>
      </c>
      <c r="G317" s="580" t="s">
        <v>1548</v>
      </c>
      <c r="H317" s="582" t="s">
        <v>100</v>
      </c>
    </row>
    <row r="318" spans="1:8" ht="15">
      <c r="A318" s="583" t="s">
        <v>809</v>
      </c>
      <c r="B318" s="584" t="s">
        <v>735</v>
      </c>
      <c r="C318" s="585">
        <v>0</v>
      </c>
      <c r="D318" s="585">
        <v>0</v>
      </c>
      <c r="E318" s="584" t="s">
        <v>156</v>
      </c>
      <c r="F318" s="584" t="s">
        <v>100</v>
      </c>
      <c r="G318" s="584" t="s">
        <v>1549</v>
      </c>
      <c r="H318" s="586" t="s">
        <v>100</v>
      </c>
    </row>
    <row r="319" spans="1:8" ht="15">
      <c r="A319" s="579" t="s">
        <v>810</v>
      </c>
      <c r="B319" s="580" t="s">
        <v>811</v>
      </c>
      <c r="C319" s="581">
        <v>0</v>
      </c>
      <c r="D319" s="581">
        <v>0</v>
      </c>
      <c r="E319" s="580" t="s">
        <v>156</v>
      </c>
      <c r="F319" s="580" t="s">
        <v>100</v>
      </c>
      <c r="G319" s="580" t="s">
        <v>1550</v>
      </c>
      <c r="H319" s="582" t="s">
        <v>812</v>
      </c>
    </row>
    <row r="320" spans="1:8" ht="15">
      <c r="A320" s="583" t="s">
        <v>813</v>
      </c>
      <c r="B320" s="584" t="s">
        <v>814</v>
      </c>
      <c r="C320" s="585">
        <v>1189909.8500000001</v>
      </c>
      <c r="D320" s="585">
        <v>1311508.6200000001</v>
      </c>
      <c r="E320" s="584" t="s">
        <v>156</v>
      </c>
      <c r="F320" s="584" t="s">
        <v>100</v>
      </c>
      <c r="G320" s="584" t="s">
        <v>1550</v>
      </c>
      <c r="H320" s="586" t="s">
        <v>815</v>
      </c>
    </row>
    <row r="321" spans="1:8" ht="15">
      <c r="A321" s="579" t="s">
        <v>816</v>
      </c>
      <c r="B321" s="580" t="s">
        <v>817</v>
      </c>
      <c r="C321" s="581">
        <v>0</v>
      </c>
      <c r="D321" s="581">
        <v>0</v>
      </c>
      <c r="E321" s="580" t="s">
        <v>156</v>
      </c>
      <c r="F321" s="580" t="s">
        <v>100</v>
      </c>
      <c r="G321" s="580" t="s">
        <v>1548</v>
      </c>
      <c r="H321" s="582" t="s">
        <v>100</v>
      </c>
    </row>
    <row r="322" spans="1:8" ht="15">
      <c r="A322" s="583" t="s">
        <v>818</v>
      </c>
      <c r="B322" s="584" t="s">
        <v>819</v>
      </c>
      <c r="C322" s="585">
        <v>0</v>
      </c>
      <c r="D322" s="585">
        <v>0</v>
      </c>
      <c r="E322" s="584" t="s">
        <v>156</v>
      </c>
      <c r="F322" s="584" t="s">
        <v>100</v>
      </c>
      <c r="G322" s="584" t="s">
        <v>1549</v>
      </c>
      <c r="H322" s="586" t="s">
        <v>100</v>
      </c>
    </row>
    <row r="323" spans="1:8" ht="15">
      <c r="A323" s="579" t="s">
        <v>820</v>
      </c>
      <c r="B323" s="580" t="s">
        <v>821</v>
      </c>
      <c r="C323" s="581">
        <v>0</v>
      </c>
      <c r="D323" s="581">
        <v>0</v>
      </c>
      <c r="E323" s="580" t="s">
        <v>156</v>
      </c>
      <c r="F323" s="580" t="s">
        <v>100</v>
      </c>
      <c r="G323" s="580" t="s">
        <v>1550</v>
      </c>
      <c r="H323" s="582" t="s">
        <v>822</v>
      </c>
    </row>
    <row r="324" spans="1:8" ht="15">
      <c r="A324" s="583" t="s">
        <v>823</v>
      </c>
      <c r="B324" s="584" t="s">
        <v>824</v>
      </c>
      <c r="C324" s="585">
        <v>0</v>
      </c>
      <c r="D324" s="585">
        <v>0</v>
      </c>
      <c r="E324" s="584" t="s">
        <v>156</v>
      </c>
      <c r="F324" s="584" t="s">
        <v>100</v>
      </c>
      <c r="G324" s="584" t="s">
        <v>1548</v>
      </c>
      <c r="H324" s="586" t="s">
        <v>100</v>
      </c>
    </row>
    <row r="325" spans="1:8" ht="15">
      <c r="A325" s="579" t="s">
        <v>825</v>
      </c>
      <c r="B325" s="580" t="s">
        <v>826</v>
      </c>
      <c r="C325" s="581">
        <v>38382.54</v>
      </c>
      <c r="D325" s="581">
        <v>39296.97</v>
      </c>
      <c r="E325" s="580" t="s">
        <v>156</v>
      </c>
      <c r="F325" s="580" t="s">
        <v>100</v>
      </c>
      <c r="G325" s="580" t="s">
        <v>1549</v>
      </c>
      <c r="H325" s="582" t="s">
        <v>100</v>
      </c>
    </row>
    <row r="326" spans="1:8" ht="15">
      <c r="A326" s="583" t="s">
        <v>827</v>
      </c>
      <c r="B326" s="584" t="s">
        <v>828</v>
      </c>
      <c r="C326" s="585">
        <v>38382.54</v>
      </c>
      <c r="D326" s="585">
        <v>39296.97</v>
      </c>
      <c r="E326" s="584" t="s">
        <v>156</v>
      </c>
      <c r="F326" s="584" t="s">
        <v>100</v>
      </c>
      <c r="G326" s="584" t="s">
        <v>1550</v>
      </c>
      <c r="H326" s="586" t="s">
        <v>829</v>
      </c>
    </row>
    <row r="327" spans="1:8" ht="15">
      <c r="A327" s="579" t="s">
        <v>830</v>
      </c>
      <c r="B327" s="580" t="s">
        <v>831</v>
      </c>
      <c r="C327" s="581">
        <v>2068438.8</v>
      </c>
      <c r="D327" s="581">
        <v>2180039.11</v>
      </c>
      <c r="E327" s="580" t="s">
        <v>156</v>
      </c>
      <c r="F327" s="580" t="s">
        <v>100</v>
      </c>
      <c r="G327" s="580" t="s">
        <v>1550</v>
      </c>
      <c r="H327" s="582" t="s">
        <v>832</v>
      </c>
    </row>
    <row r="328" spans="1:8" ht="15">
      <c r="A328" s="583" t="s">
        <v>833</v>
      </c>
      <c r="B328" s="584" t="s">
        <v>97</v>
      </c>
      <c r="C328" s="585">
        <v>0</v>
      </c>
      <c r="D328" s="585">
        <v>0</v>
      </c>
      <c r="E328" s="584" t="s">
        <v>156</v>
      </c>
      <c r="F328" s="584" t="s">
        <v>100</v>
      </c>
      <c r="G328" s="584" t="s">
        <v>1548</v>
      </c>
      <c r="H328" s="586" t="s">
        <v>100</v>
      </c>
    </row>
    <row r="329" spans="1:8" ht="15">
      <c r="A329" s="579" t="s">
        <v>834</v>
      </c>
      <c r="B329" s="580" t="s">
        <v>835</v>
      </c>
      <c r="C329" s="581">
        <v>166.16</v>
      </c>
      <c r="D329" s="581">
        <v>166.16</v>
      </c>
      <c r="E329" s="580" t="s">
        <v>156</v>
      </c>
      <c r="F329" s="580" t="s">
        <v>100</v>
      </c>
      <c r="G329" s="580" t="s">
        <v>1549</v>
      </c>
      <c r="H329" s="582" t="s">
        <v>100</v>
      </c>
    </row>
    <row r="330" spans="1:8" ht="15">
      <c r="A330" s="583" t="s">
        <v>836</v>
      </c>
      <c r="B330" s="584" t="s">
        <v>837</v>
      </c>
      <c r="C330" s="585">
        <v>16010.02</v>
      </c>
      <c r="D330" s="585">
        <v>17689.810000000001</v>
      </c>
      <c r="E330" s="584" t="s">
        <v>156</v>
      </c>
      <c r="F330" s="584" t="s">
        <v>100</v>
      </c>
      <c r="G330" s="584" t="s">
        <v>1549</v>
      </c>
      <c r="H330" s="586" t="s">
        <v>100</v>
      </c>
    </row>
    <row r="331" spans="1:8" ht="15">
      <c r="A331" s="579" t="s">
        <v>838</v>
      </c>
      <c r="B331" s="580" t="s">
        <v>839</v>
      </c>
      <c r="C331" s="581">
        <v>16176.18</v>
      </c>
      <c r="D331" s="581">
        <v>17855.97</v>
      </c>
      <c r="E331" s="580" t="s">
        <v>156</v>
      </c>
      <c r="F331" s="580" t="s">
        <v>100</v>
      </c>
      <c r="G331" s="580" t="s">
        <v>1550</v>
      </c>
      <c r="H331" s="582" t="s">
        <v>840</v>
      </c>
    </row>
    <row r="332" spans="1:8" ht="15">
      <c r="A332" s="583" t="s">
        <v>841</v>
      </c>
      <c r="B332" s="584" t="s">
        <v>1152</v>
      </c>
      <c r="C332" s="585">
        <v>12739963.039999999</v>
      </c>
      <c r="D332" s="585">
        <v>13342749.49</v>
      </c>
      <c r="E332" s="584" t="s">
        <v>156</v>
      </c>
      <c r="F332" s="584" t="s">
        <v>100</v>
      </c>
      <c r="G332" s="584" t="s">
        <v>1550</v>
      </c>
      <c r="H332" s="586" t="s">
        <v>843</v>
      </c>
    </row>
    <row r="333" spans="1:8" ht="15">
      <c r="A333" s="579" t="s">
        <v>844</v>
      </c>
      <c r="B333" s="580" t="s">
        <v>1594</v>
      </c>
      <c r="C333" s="581">
        <v>0</v>
      </c>
      <c r="D333" s="581">
        <v>0</v>
      </c>
      <c r="E333" s="580" t="s">
        <v>156</v>
      </c>
      <c r="F333" s="580" t="s">
        <v>100</v>
      </c>
      <c r="G333" s="580" t="s">
        <v>1548</v>
      </c>
      <c r="H333" s="582" t="s">
        <v>100</v>
      </c>
    </row>
    <row r="334" spans="1:8" ht="15">
      <c r="A334" s="583" t="s">
        <v>846</v>
      </c>
      <c r="B334" s="584" t="s">
        <v>847</v>
      </c>
      <c r="C334" s="585">
        <v>376011.03</v>
      </c>
      <c r="D334" s="585">
        <v>376011.03</v>
      </c>
      <c r="E334" s="584" t="s">
        <v>156</v>
      </c>
      <c r="F334" s="584" t="s">
        <v>100</v>
      </c>
      <c r="G334" s="584" t="s">
        <v>1549</v>
      </c>
      <c r="H334" s="586" t="s">
        <v>100</v>
      </c>
    </row>
    <row r="335" spans="1:8" ht="15">
      <c r="A335" s="579" t="s">
        <v>848</v>
      </c>
      <c r="B335" s="580" t="s">
        <v>1533</v>
      </c>
      <c r="C335" s="581">
        <v>0</v>
      </c>
      <c r="D335" s="581">
        <v>0</v>
      </c>
      <c r="E335" s="580" t="s">
        <v>156</v>
      </c>
      <c r="F335" s="580" t="s">
        <v>100</v>
      </c>
      <c r="G335" s="580" t="s">
        <v>1549</v>
      </c>
      <c r="H335" s="582" t="s">
        <v>100</v>
      </c>
    </row>
    <row r="336" spans="1:8" ht="15">
      <c r="A336" s="583" t="s">
        <v>850</v>
      </c>
      <c r="B336" s="584" t="s">
        <v>851</v>
      </c>
      <c r="C336" s="585">
        <v>376011.03</v>
      </c>
      <c r="D336" s="585">
        <v>376011.03</v>
      </c>
      <c r="E336" s="584" t="s">
        <v>156</v>
      </c>
      <c r="F336" s="584" t="s">
        <v>100</v>
      </c>
      <c r="G336" s="584" t="s">
        <v>1550</v>
      </c>
      <c r="H336" s="586" t="s">
        <v>852</v>
      </c>
    </row>
    <row r="337" spans="1:8" ht="15">
      <c r="A337" s="579" t="s">
        <v>853</v>
      </c>
      <c r="B337" s="580" t="s">
        <v>854</v>
      </c>
      <c r="C337" s="581">
        <v>0</v>
      </c>
      <c r="D337" s="581">
        <v>0</v>
      </c>
      <c r="E337" s="580" t="s">
        <v>156</v>
      </c>
      <c r="F337" s="580" t="s">
        <v>100</v>
      </c>
      <c r="G337" s="580" t="s">
        <v>1548</v>
      </c>
      <c r="H337" s="582" t="s">
        <v>100</v>
      </c>
    </row>
    <row r="338" spans="1:8" ht="15">
      <c r="A338" s="583" t="s">
        <v>855</v>
      </c>
      <c r="B338" s="584" t="s">
        <v>1595</v>
      </c>
      <c r="C338" s="585">
        <v>0</v>
      </c>
      <c r="D338" s="585">
        <v>0</v>
      </c>
      <c r="E338" s="584" t="s">
        <v>156</v>
      </c>
      <c r="F338" s="584" t="s">
        <v>100</v>
      </c>
      <c r="G338" s="584" t="s">
        <v>1549</v>
      </c>
      <c r="H338" s="586" t="s">
        <v>100</v>
      </c>
    </row>
    <row r="339" spans="1:8" ht="15">
      <c r="A339" s="579" t="s">
        <v>857</v>
      </c>
      <c r="B339" s="580" t="s">
        <v>858</v>
      </c>
      <c r="C339" s="581">
        <v>0</v>
      </c>
      <c r="D339" s="581">
        <v>0</v>
      </c>
      <c r="E339" s="580" t="s">
        <v>156</v>
      </c>
      <c r="F339" s="580" t="s">
        <v>100</v>
      </c>
      <c r="G339" s="580" t="s">
        <v>1549</v>
      </c>
      <c r="H339" s="582" t="s">
        <v>100</v>
      </c>
    </row>
    <row r="340" spans="1:8" ht="15">
      <c r="A340" s="583" t="s">
        <v>859</v>
      </c>
      <c r="B340" s="584" t="s">
        <v>1596</v>
      </c>
      <c r="C340" s="585">
        <v>-22762.71</v>
      </c>
      <c r="D340" s="585">
        <v>-22762.71</v>
      </c>
      <c r="E340" s="584" t="s">
        <v>156</v>
      </c>
      <c r="F340" s="584" t="s">
        <v>100</v>
      </c>
      <c r="G340" s="584" t="s">
        <v>1549</v>
      </c>
      <c r="H340" s="586" t="s">
        <v>100</v>
      </c>
    </row>
    <row r="341" spans="1:8" ht="15">
      <c r="A341" s="579" t="s">
        <v>861</v>
      </c>
      <c r="B341" s="580" t="s">
        <v>862</v>
      </c>
      <c r="C341" s="581">
        <v>353248.32</v>
      </c>
      <c r="D341" s="581">
        <v>353248.32</v>
      </c>
      <c r="E341" s="580" t="s">
        <v>156</v>
      </c>
      <c r="F341" s="580" t="s">
        <v>100</v>
      </c>
      <c r="G341" s="580" t="s">
        <v>1584</v>
      </c>
      <c r="H341" s="582" t="s">
        <v>863</v>
      </c>
    </row>
    <row r="342" spans="1:8" ht="15">
      <c r="A342" s="583" t="s">
        <v>864</v>
      </c>
      <c r="B342" s="584" t="s">
        <v>1152</v>
      </c>
      <c r="C342" s="585">
        <v>13093211.359999999</v>
      </c>
      <c r="D342" s="585">
        <v>13695997.810000001</v>
      </c>
      <c r="E342" s="584" t="s">
        <v>156</v>
      </c>
      <c r="F342" s="584" t="s">
        <v>100</v>
      </c>
      <c r="G342" s="584" t="s">
        <v>1584</v>
      </c>
      <c r="H342" s="586" t="s">
        <v>866</v>
      </c>
    </row>
    <row r="343" spans="1:8" ht="15">
      <c r="A343" s="579" t="s">
        <v>867</v>
      </c>
      <c r="B343" s="580" t="s">
        <v>868</v>
      </c>
      <c r="C343" s="581">
        <v>6436775.0800000001</v>
      </c>
      <c r="D343" s="581">
        <v>-601816.24</v>
      </c>
      <c r="E343" s="580" t="s">
        <v>156</v>
      </c>
      <c r="F343" s="580" t="s">
        <v>100</v>
      </c>
      <c r="G343" s="580" t="s">
        <v>1584</v>
      </c>
      <c r="H343" s="582" t="s">
        <v>869</v>
      </c>
    </row>
    <row r="344" spans="1:8" ht="15">
      <c r="A344" s="583" t="s">
        <v>870</v>
      </c>
      <c r="B344" s="584" t="s">
        <v>871</v>
      </c>
      <c r="C344" s="585">
        <v>0</v>
      </c>
      <c r="D344" s="585">
        <v>0</v>
      </c>
      <c r="E344" s="584" t="s">
        <v>872</v>
      </c>
      <c r="F344" s="584" t="s">
        <v>100</v>
      </c>
      <c r="G344" s="584" t="s">
        <v>1548</v>
      </c>
      <c r="H344" s="586" t="s">
        <v>100</v>
      </c>
    </row>
    <row r="345" spans="1:8" ht="15">
      <c r="A345" s="579" t="s">
        <v>873</v>
      </c>
      <c r="B345" s="580" t="s">
        <v>874</v>
      </c>
      <c r="C345" s="581">
        <v>0</v>
      </c>
      <c r="D345" s="581">
        <v>0</v>
      </c>
      <c r="E345" s="580" t="s">
        <v>872</v>
      </c>
      <c r="F345" s="580" t="s">
        <v>100</v>
      </c>
      <c r="G345" s="580" t="s">
        <v>1548</v>
      </c>
      <c r="H345" s="582" t="s">
        <v>100</v>
      </c>
    </row>
    <row r="346" spans="1:8" ht="15">
      <c r="A346" s="583" t="s">
        <v>875</v>
      </c>
      <c r="B346" s="584" t="s">
        <v>876</v>
      </c>
      <c r="C346" s="585">
        <v>0</v>
      </c>
      <c r="D346" s="585">
        <v>0</v>
      </c>
      <c r="E346" s="584" t="s">
        <v>872</v>
      </c>
      <c r="F346" s="584" t="s">
        <v>100</v>
      </c>
      <c r="G346" s="584" t="s">
        <v>1548</v>
      </c>
      <c r="H346" s="586" t="s">
        <v>100</v>
      </c>
    </row>
    <row r="347" spans="1:8" ht="15">
      <c r="A347" s="579" t="s">
        <v>877</v>
      </c>
      <c r="B347" s="580" t="s">
        <v>878</v>
      </c>
      <c r="C347" s="581">
        <v>28500000</v>
      </c>
      <c r="D347" s="581">
        <v>28500000</v>
      </c>
      <c r="E347" s="580" t="s">
        <v>872</v>
      </c>
      <c r="F347" s="580" t="s">
        <v>100</v>
      </c>
      <c r="G347" s="580" t="s">
        <v>1549</v>
      </c>
      <c r="H347" s="582" t="s">
        <v>100</v>
      </c>
    </row>
    <row r="348" spans="1:8" ht="15">
      <c r="A348" s="583" t="s">
        <v>879</v>
      </c>
      <c r="B348" s="584" t="s">
        <v>880</v>
      </c>
      <c r="C348" s="585">
        <v>22281800</v>
      </c>
      <c r="D348" s="585">
        <v>22281800</v>
      </c>
      <c r="E348" s="584" t="s">
        <v>872</v>
      </c>
      <c r="F348" s="584" t="s">
        <v>100</v>
      </c>
      <c r="G348" s="584" t="s">
        <v>1549</v>
      </c>
      <c r="H348" s="586" t="s">
        <v>100</v>
      </c>
    </row>
    <row r="349" spans="1:8" ht="15">
      <c r="A349" s="579" t="s">
        <v>881</v>
      </c>
      <c r="B349" s="580" t="s">
        <v>882</v>
      </c>
      <c r="C349" s="581">
        <v>3537200</v>
      </c>
      <c r="D349" s="581">
        <v>3537200</v>
      </c>
      <c r="E349" s="580" t="s">
        <v>872</v>
      </c>
      <c r="F349" s="580" t="s">
        <v>100</v>
      </c>
      <c r="G349" s="580" t="s">
        <v>1549</v>
      </c>
      <c r="H349" s="582" t="s">
        <v>100</v>
      </c>
    </row>
    <row r="350" spans="1:8" ht="15">
      <c r="A350" s="583" t="s">
        <v>883</v>
      </c>
      <c r="B350" s="584" t="s">
        <v>884</v>
      </c>
      <c r="C350" s="585">
        <v>101601</v>
      </c>
      <c r="D350" s="585">
        <v>101601</v>
      </c>
      <c r="E350" s="584" t="s">
        <v>872</v>
      </c>
      <c r="F350" s="584" t="s">
        <v>100</v>
      </c>
      <c r="G350" s="584" t="s">
        <v>1549</v>
      </c>
      <c r="H350" s="586" t="s">
        <v>100</v>
      </c>
    </row>
    <row r="351" spans="1:8" ht="15">
      <c r="A351" s="579" t="s">
        <v>885</v>
      </c>
      <c r="B351" s="580" t="s">
        <v>886</v>
      </c>
      <c r="C351" s="581">
        <v>140400</v>
      </c>
      <c r="D351" s="581">
        <v>140400</v>
      </c>
      <c r="E351" s="580" t="s">
        <v>872</v>
      </c>
      <c r="F351" s="580" t="s">
        <v>100</v>
      </c>
      <c r="G351" s="580" t="s">
        <v>1549</v>
      </c>
      <c r="H351" s="582" t="s">
        <v>100</v>
      </c>
    </row>
    <row r="352" spans="1:8" ht="15">
      <c r="A352" s="583" t="s">
        <v>887</v>
      </c>
      <c r="B352" s="584" t="s">
        <v>888</v>
      </c>
      <c r="C352" s="585">
        <v>134200</v>
      </c>
      <c r="D352" s="585">
        <v>134200</v>
      </c>
      <c r="E352" s="584" t="s">
        <v>872</v>
      </c>
      <c r="F352" s="584" t="s">
        <v>100</v>
      </c>
      <c r="G352" s="584" t="s">
        <v>1549</v>
      </c>
      <c r="H352" s="586" t="s">
        <v>100</v>
      </c>
    </row>
    <row r="353" spans="1:8" ht="15">
      <c r="A353" s="579" t="s">
        <v>1597</v>
      </c>
      <c r="B353" s="580" t="s">
        <v>1582</v>
      </c>
      <c r="C353" s="581">
        <v>-250389.98</v>
      </c>
      <c r="D353" s="581">
        <v>-250389.98</v>
      </c>
      <c r="E353" s="580" t="s">
        <v>872</v>
      </c>
      <c r="F353" s="580" t="s">
        <v>100</v>
      </c>
      <c r="G353" s="580" t="s">
        <v>1549</v>
      </c>
      <c r="H353" s="582" t="s">
        <v>100</v>
      </c>
    </row>
    <row r="354" spans="1:8" ht="15">
      <c r="A354" s="583" t="s">
        <v>1598</v>
      </c>
      <c r="B354" s="584" t="s">
        <v>1599</v>
      </c>
      <c r="C354" s="585">
        <v>3088992.09</v>
      </c>
      <c r="D354" s="585">
        <v>3088992.09</v>
      </c>
      <c r="E354" s="584" t="s">
        <v>872</v>
      </c>
      <c r="F354" s="584" t="s">
        <v>100</v>
      </c>
      <c r="G354" s="584" t="s">
        <v>1549</v>
      </c>
      <c r="H354" s="586" t="s">
        <v>100</v>
      </c>
    </row>
    <row r="355" spans="1:8" ht="15">
      <c r="A355" s="579" t="s">
        <v>889</v>
      </c>
      <c r="B355" s="580" t="s">
        <v>890</v>
      </c>
      <c r="C355" s="581">
        <v>57533803.109999999</v>
      </c>
      <c r="D355" s="581">
        <v>57533803.109999999</v>
      </c>
      <c r="E355" s="580" t="s">
        <v>872</v>
      </c>
      <c r="F355" s="580" t="s">
        <v>100</v>
      </c>
      <c r="G355" s="580" t="s">
        <v>1550</v>
      </c>
      <c r="H355" s="582" t="s">
        <v>891</v>
      </c>
    </row>
    <row r="356" spans="1:8" ht="15">
      <c r="A356" s="583" t="s">
        <v>892</v>
      </c>
      <c r="B356" s="584" t="s">
        <v>893</v>
      </c>
      <c r="C356" s="585">
        <v>0</v>
      </c>
      <c r="D356" s="585">
        <v>0</v>
      </c>
      <c r="E356" s="584" t="s">
        <v>872</v>
      </c>
      <c r="F356" s="584" t="s">
        <v>100</v>
      </c>
      <c r="G356" s="584" t="s">
        <v>1548</v>
      </c>
      <c r="H356" s="586" t="s">
        <v>100</v>
      </c>
    </row>
    <row r="357" spans="1:8" ht="15">
      <c r="A357" s="579" t="s">
        <v>894</v>
      </c>
      <c r="B357" s="580" t="s">
        <v>895</v>
      </c>
      <c r="C357" s="581">
        <v>70000</v>
      </c>
      <c r="D357" s="581">
        <v>70000</v>
      </c>
      <c r="E357" s="580" t="s">
        <v>872</v>
      </c>
      <c r="F357" s="580" t="s">
        <v>100</v>
      </c>
      <c r="G357" s="580" t="s">
        <v>1549</v>
      </c>
      <c r="H357" s="582" t="s">
        <v>100</v>
      </c>
    </row>
    <row r="358" spans="1:8" ht="15">
      <c r="A358" s="583" t="s">
        <v>896</v>
      </c>
      <c r="B358" s="584" t="s">
        <v>897</v>
      </c>
      <c r="C358" s="585">
        <v>70000</v>
      </c>
      <c r="D358" s="585">
        <v>70000</v>
      </c>
      <c r="E358" s="584" t="s">
        <v>872</v>
      </c>
      <c r="F358" s="584" t="s">
        <v>100</v>
      </c>
      <c r="G358" s="584" t="s">
        <v>1550</v>
      </c>
      <c r="H358" s="586" t="s">
        <v>898</v>
      </c>
    </row>
    <row r="359" spans="1:8" ht="15">
      <c r="A359" s="579" t="s">
        <v>1600</v>
      </c>
      <c r="B359" s="580" t="s">
        <v>1601</v>
      </c>
      <c r="C359" s="581">
        <v>0</v>
      </c>
      <c r="D359" s="581">
        <v>0</v>
      </c>
      <c r="E359" s="580" t="s">
        <v>872</v>
      </c>
      <c r="F359" s="580" t="s">
        <v>100</v>
      </c>
      <c r="G359" s="580" t="s">
        <v>1548</v>
      </c>
      <c r="H359" s="582" t="s">
        <v>100</v>
      </c>
    </row>
    <row r="360" spans="1:8" ht="15">
      <c r="A360" s="583" t="s">
        <v>1602</v>
      </c>
      <c r="B360" s="584" t="s">
        <v>1603</v>
      </c>
      <c r="C360" s="585">
        <v>900753.84</v>
      </c>
      <c r="D360" s="585">
        <v>993775.09</v>
      </c>
      <c r="E360" s="584" t="s">
        <v>872</v>
      </c>
      <c r="F360" s="584" t="s">
        <v>100</v>
      </c>
      <c r="G360" s="584" t="s">
        <v>1549</v>
      </c>
      <c r="H360" s="586" t="s">
        <v>100</v>
      </c>
    </row>
    <row r="361" spans="1:8" ht="15">
      <c r="A361" s="579" t="s">
        <v>1604</v>
      </c>
      <c r="B361" s="580" t="s">
        <v>1605</v>
      </c>
      <c r="C361" s="581">
        <v>900753.84</v>
      </c>
      <c r="D361" s="581">
        <v>993775.09</v>
      </c>
      <c r="E361" s="580" t="s">
        <v>872</v>
      </c>
      <c r="F361" s="580" t="s">
        <v>100</v>
      </c>
      <c r="G361" s="580" t="s">
        <v>1550</v>
      </c>
      <c r="H361" s="582" t="s">
        <v>1606</v>
      </c>
    </row>
    <row r="362" spans="1:8" ht="15">
      <c r="A362" s="583" t="s">
        <v>899</v>
      </c>
      <c r="B362" s="584" t="s">
        <v>900</v>
      </c>
      <c r="C362" s="585">
        <v>0</v>
      </c>
      <c r="D362" s="585">
        <v>0</v>
      </c>
      <c r="E362" s="584" t="s">
        <v>872</v>
      </c>
      <c r="F362" s="584" t="s">
        <v>100</v>
      </c>
      <c r="G362" s="584" t="s">
        <v>1548</v>
      </c>
      <c r="H362" s="586" t="s">
        <v>100</v>
      </c>
    </row>
    <row r="363" spans="1:8" ht="15">
      <c r="A363" s="579" t="s">
        <v>901</v>
      </c>
      <c r="B363" s="580" t="s">
        <v>902</v>
      </c>
      <c r="C363" s="581">
        <v>3366400</v>
      </c>
      <c r="D363" s="581">
        <v>3366400</v>
      </c>
      <c r="E363" s="580" t="s">
        <v>872</v>
      </c>
      <c r="F363" s="580" t="s">
        <v>100</v>
      </c>
      <c r="G363" s="580" t="s">
        <v>1549</v>
      </c>
      <c r="H363" s="582" t="s">
        <v>100</v>
      </c>
    </row>
    <row r="364" spans="1:8" ht="15">
      <c r="A364" s="583" t="s">
        <v>903</v>
      </c>
      <c r="B364" s="584" t="s">
        <v>904</v>
      </c>
      <c r="C364" s="585">
        <v>67500</v>
      </c>
      <c r="D364" s="585">
        <v>37500</v>
      </c>
      <c r="E364" s="584" t="s">
        <v>872</v>
      </c>
      <c r="F364" s="584" t="s">
        <v>100</v>
      </c>
      <c r="G364" s="584" t="s">
        <v>1549</v>
      </c>
      <c r="H364" s="586" t="s">
        <v>100</v>
      </c>
    </row>
    <row r="365" spans="1:8" ht="15">
      <c r="A365" s="579" t="s">
        <v>905</v>
      </c>
      <c r="B365" s="580" t="s">
        <v>906</v>
      </c>
      <c r="C365" s="581">
        <v>8250</v>
      </c>
      <c r="D365" s="581">
        <v>8250</v>
      </c>
      <c r="E365" s="580" t="s">
        <v>872</v>
      </c>
      <c r="F365" s="580" t="s">
        <v>100</v>
      </c>
      <c r="G365" s="580" t="s">
        <v>1549</v>
      </c>
      <c r="H365" s="582" t="s">
        <v>100</v>
      </c>
    </row>
    <row r="366" spans="1:8" ht="15">
      <c r="A366" s="583" t="s">
        <v>907</v>
      </c>
      <c r="B366" s="584" t="s">
        <v>908</v>
      </c>
      <c r="C366" s="585">
        <v>1339102.5</v>
      </c>
      <c r="D366" s="585">
        <v>1339102.5</v>
      </c>
      <c r="E366" s="584" t="s">
        <v>872</v>
      </c>
      <c r="F366" s="584" t="s">
        <v>100</v>
      </c>
      <c r="G366" s="584" t="s">
        <v>1549</v>
      </c>
      <c r="H366" s="586" t="s">
        <v>100</v>
      </c>
    </row>
    <row r="367" spans="1:8" ht="15">
      <c r="A367" s="579" t="s">
        <v>909</v>
      </c>
      <c r="B367" s="580" t="s">
        <v>910</v>
      </c>
      <c r="C367" s="581">
        <v>-31248</v>
      </c>
      <c r="D367" s="581">
        <v>-31248</v>
      </c>
      <c r="E367" s="580" t="s">
        <v>872</v>
      </c>
      <c r="F367" s="580" t="s">
        <v>100</v>
      </c>
      <c r="G367" s="580" t="s">
        <v>1549</v>
      </c>
      <c r="H367" s="582" t="s">
        <v>100</v>
      </c>
    </row>
    <row r="368" spans="1:8" ht="15">
      <c r="A368" s="583" t="s">
        <v>911</v>
      </c>
      <c r="B368" s="584" t="s">
        <v>912</v>
      </c>
      <c r="C368" s="585">
        <v>1500000</v>
      </c>
      <c r="D368" s="585">
        <v>1500000</v>
      </c>
      <c r="E368" s="584" t="s">
        <v>872</v>
      </c>
      <c r="F368" s="584" t="s">
        <v>100</v>
      </c>
      <c r="G368" s="584" t="s">
        <v>1549</v>
      </c>
      <c r="H368" s="586" t="s">
        <v>100</v>
      </c>
    </row>
    <row r="369" spans="1:8" ht="15">
      <c r="A369" s="579" t="s">
        <v>913</v>
      </c>
      <c r="B369" s="580" t="s">
        <v>914</v>
      </c>
      <c r="C369" s="581">
        <v>6250004.5</v>
      </c>
      <c r="D369" s="581">
        <v>6220004.5</v>
      </c>
      <c r="E369" s="580" t="s">
        <v>872</v>
      </c>
      <c r="F369" s="580" t="s">
        <v>100</v>
      </c>
      <c r="G369" s="580" t="s">
        <v>1550</v>
      </c>
      <c r="H369" s="582" t="s">
        <v>915</v>
      </c>
    </row>
    <row r="370" spans="1:8" ht="15">
      <c r="A370" s="583" t="s">
        <v>916</v>
      </c>
      <c r="B370" s="584" t="s">
        <v>917</v>
      </c>
      <c r="C370" s="585">
        <v>64754561.450000003</v>
      </c>
      <c r="D370" s="585">
        <v>64817582.700000003</v>
      </c>
      <c r="E370" s="584" t="s">
        <v>872</v>
      </c>
      <c r="F370" s="584" t="s">
        <v>100</v>
      </c>
      <c r="G370" s="584" t="s">
        <v>1550</v>
      </c>
      <c r="H370" s="586" t="s">
        <v>918</v>
      </c>
    </row>
    <row r="371" spans="1:8" ht="15">
      <c r="A371" s="579" t="s">
        <v>919</v>
      </c>
      <c r="B371" s="580" t="s">
        <v>920</v>
      </c>
      <c r="C371" s="581">
        <v>0</v>
      </c>
      <c r="D371" s="581">
        <v>0</v>
      </c>
      <c r="E371" s="580" t="s">
        <v>872</v>
      </c>
      <c r="F371" s="580" t="s">
        <v>100</v>
      </c>
      <c r="G371" s="580" t="s">
        <v>1548</v>
      </c>
      <c r="H371" s="582" t="s">
        <v>100</v>
      </c>
    </row>
    <row r="372" spans="1:8" ht="15">
      <c r="A372" s="583" t="s">
        <v>921</v>
      </c>
      <c r="B372" s="584" t="s">
        <v>922</v>
      </c>
      <c r="C372" s="585">
        <v>0</v>
      </c>
      <c r="D372" s="585">
        <v>0</v>
      </c>
      <c r="E372" s="584" t="s">
        <v>872</v>
      </c>
      <c r="F372" s="584" t="s">
        <v>100</v>
      </c>
      <c r="G372" s="584" t="s">
        <v>1548</v>
      </c>
      <c r="H372" s="586" t="s">
        <v>100</v>
      </c>
    </row>
    <row r="373" spans="1:8" ht="15">
      <c r="A373" s="579" t="s">
        <v>923</v>
      </c>
      <c r="B373" s="580" t="s">
        <v>924</v>
      </c>
      <c r="C373" s="581">
        <v>36999.089999999997</v>
      </c>
      <c r="D373" s="581">
        <v>36999.089999999997</v>
      </c>
      <c r="E373" s="580" t="s">
        <v>872</v>
      </c>
      <c r="F373" s="580" t="s">
        <v>100</v>
      </c>
      <c r="G373" s="580" t="s">
        <v>1549</v>
      </c>
      <c r="H373" s="582" t="s">
        <v>100</v>
      </c>
    </row>
    <row r="374" spans="1:8" ht="15">
      <c r="A374" s="583" t="s">
        <v>925</v>
      </c>
      <c r="B374" s="584" t="s">
        <v>926</v>
      </c>
      <c r="C374" s="585">
        <v>0</v>
      </c>
      <c r="D374" s="585">
        <v>0</v>
      </c>
      <c r="E374" s="584" t="s">
        <v>872</v>
      </c>
      <c r="F374" s="584" t="s">
        <v>100</v>
      </c>
      <c r="G374" s="584" t="s">
        <v>1549</v>
      </c>
      <c r="H374" s="586" t="s">
        <v>100</v>
      </c>
    </row>
    <row r="375" spans="1:8" ht="15">
      <c r="A375" s="579" t="s">
        <v>927</v>
      </c>
      <c r="B375" s="580" t="s">
        <v>1607</v>
      </c>
      <c r="C375" s="581">
        <v>0</v>
      </c>
      <c r="D375" s="581">
        <v>941.95</v>
      </c>
      <c r="E375" s="580" t="s">
        <v>872</v>
      </c>
      <c r="F375" s="580" t="s">
        <v>100</v>
      </c>
      <c r="G375" s="580" t="s">
        <v>1549</v>
      </c>
      <c r="H375" s="582" t="s">
        <v>100</v>
      </c>
    </row>
    <row r="376" spans="1:8" ht="15">
      <c r="A376" s="583" t="s">
        <v>929</v>
      </c>
      <c r="B376" s="584" t="s">
        <v>930</v>
      </c>
      <c r="C376" s="585">
        <v>0</v>
      </c>
      <c r="D376" s="585">
        <v>0</v>
      </c>
      <c r="E376" s="584" t="s">
        <v>872</v>
      </c>
      <c r="F376" s="584" t="s">
        <v>100</v>
      </c>
      <c r="G376" s="584" t="s">
        <v>1549</v>
      </c>
      <c r="H376" s="586" t="s">
        <v>100</v>
      </c>
    </row>
    <row r="377" spans="1:8" ht="15">
      <c r="A377" s="579" t="s">
        <v>931</v>
      </c>
      <c r="B377" s="580" t="s">
        <v>932</v>
      </c>
      <c r="C377" s="581">
        <v>100213.98</v>
      </c>
      <c r="D377" s="581">
        <v>100973.86</v>
      </c>
      <c r="E377" s="580" t="s">
        <v>872</v>
      </c>
      <c r="F377" s="580" t="s">
        <v>100</v>
      </c>
      <c r="G377" s="580" t="s">
        <v>1549</v>
      </c>
      <c r="H377" s="582" t="s">
        <v>100</v>
      </c>
    </row>
    <row r="378" spans="1:8" ht="15">
      <c r="A378" s="583" t="s">
        <v>933</v>
      </c>
      <c r="B378" s="584" t="s">
        <v>934</v>
      </c>
      <c r="C378" s="585">
        <v>0</v>
      </c>
      <c r="D378" s="585">
        <v>0</v>
      </c>
      <c r="E378" s="584" t="s">
        <v>872</v>
      </c>
      <c r="F378" s="584" t="s">
        <v>100</v>
      </c>
      <c r="G378" s="584" t="s">
        <v>1549</v>
      </c>
      <c r="H378" s="586" t="s">
        <v>100</v>
      </c>
    </row>
    <row r="379" spans="1:8" ht="15">
      <c r="A379" s="579" t="s">
        <v>935</v>
      </c>
      <c r="B379" s="580" t="s">
        <v>936</v>
      </c>
      <c r="C379" s="581">
        <v>85000</v>
      </c>
      <c r="D379" s="581">
        <v>85000</v>
      </c>
      <c r="E379" s="580" t="s">
        <v>872</v>
      </c>
      <c r="F379" s="580" t="s">
        <v>100</v>
      </c>
      <c r="G379" s="580" t="s">
        <v>1549</v>
      </c>
      <c r="H379" s="582" t="s">
        <v>100</v>
      </c>
    </row>
    <row r="380" spans="1:8" ht="15">
      <c r="A380" s="583" t="s">
        <v>937</v>
      </c>
      <c r="B380" s="584" t="s">
        <v>938</v>
      </c>
      <c r="C380" s="585">
        <v>222213.07</v>
      </c>
      <c r="D380" s="585">
        <v>223914.9</v>
      </c>
      <c r="E380" s="584" t="s">
        <v>872</v>
      </c>
      <c r="F380" s="584" t="s">
        <v>100</v>
      </c>
      <c r="G380" s="584" t="s">
        <v>1550</v>
      </c>
      <c r="H380" s="586" t="s">
        <v>939</v>
      </c>
    </row>
    <row r="381" spans="1:8" ht="15">
      <c r="A381" s="579" t="s">
        <v>940</v>
      </c>
      <c r="B381" s="580" t="s">
        <v>941</v>
      </c>
      <c r="C381" s="581">
        <v>0</v>
      </c>
      <c r="D381" s="581">
        <v>0</v>
      </c>
      <c r="E381" s="580" t="s">
        <v>872</v>
      </c>
      <c r="F381" s="580" t="s">
        <v>100</v>
      </c>
      <c r="G381" s="580" t="s">
        <v>1548</v>
      </c>
      <c r="H381" s="582" t="s">
        <v>100</v>
      </c>
    </row>
    <row r="382" spans="1:8" ht="15">
      <c r="A382" s="583" t="s">
        <v>942</v>
      </c>
      <c r="B382" s="584" t="s">
        <v>943</v>
      </c>
      <c r="C382" s="585">
        <v>13500</v>
      </c>
      <c r="D382" s="585">
        <v>13500</v>
      </c>
      <c r="E382" s="584" t="s">
        <v>872</v>
      </c>
      <c r="F382" s="584" t="s">
        <v>100</v>
      </c>
      <c r="G382" s="584" t="s">
        <v>1549</v>
      </c>
      <c r="H382" s="586" t="s">
        <v>100</v>
      </c>
    </row>
    <row r="383" spans="1:8" ht="15">
      <c r="A383" s="579" t="s">
        <v>944</v>
      </c>
      <c r="B383" s="580" t="s">
        <v>945</v>
      </c>
      <c r="C383" s="581">
        <v>5000</v>
      </c>
      <c r="D383" s="581">
        <v>5000</v>
      </c>
      <c r="E383" s="580" t="s">
        <v>872</v>
      </c>
      <c r="F383" s="580" t="s">
        <v>100</v>
      </c>
      <c r="G383" s="580" t="s">
        <v>1549</v>
      </c>
      <c r="H383" s="582" t="s">
        <v>100</v>
      </c>
    </row>
    <row r="384" spans="1:8" ht="15">
      <c r="A384" s="583" t="s">
        <v>946</v>
      </c>
      <c r="B384" s="584" t="s">
        <v>947</v>
      </c>
      <c r="C384" s="585">
        <v>0</v>
      </c>
      <c r="D384" s="585">
        <v>0</v>
      </c>
      <c r="E384" s="584" t="s">
        <v>872</v>
      </c>
      <c r="F384" s="584" t="s">
        <v>100</v>
      </c>
      <c r="G384" s="584" t="s">
        <v>1549</v>
      </c>
      <c r="H384" s="586" t="s">
        <v>100</v>
      </c>
    </row>
    <row r="385" spans="1:8" ht="15">
      <c r="A385" s="579" t="s">
        <v>948</v>
      </c>
      <c r="B385" s="580" t="s">
        <v>949</v>
      </c>
      <c r="C385" s="581">
        <v>0</v>
      </c>
      <c r="D385" s="581">
        <v>0</v>
      </c>
      <c r="E385" s="580" t="s">
        <v>872</v>
      </c>
      <c r="F385" s="580" t="s">
        <v>100</v>
      </c>
      <c r="G385" s="580" t="s">
        <v>1549</v>
      </c>
      <c r="H385" s="582" t="s">
        <v>100</v>
      </c>
    </row>
    <row r="386" spans="1:8" ht="15">
      <c r="A386" s="583" t="s">
        <v>950</v>
      </c>
      <c r="B386" s="584" t="s">
        <v>951</v>
      </c>
      <c r="C386" s="585">
        <v>0</v>
      </c>
      <c r="D386" s="585">
        <v>0</v>
      </c>
      <c r="E386" s="584" t="s">
        <v>872</v>
      </c>
      <c r="F386" s="584" t="s">
        <v>100</v>
      </c>
      <c r="G386" s="584" t="s">
        <v>1549</v>
      </c>
      <c r="H386" s="586" t="s">
        <v>100</v>
      </c>
    </row>
    <row r="387" spans="1:8" ht="15">
      <c r="A387" s="579" t="s">
        <v>952</v>
      </c>
      <c r="B387" s="580" t="s">
        <v>953</v>
      </c>
      <c r="C387" s="581">
        <v>18500</v>
      </c>
      <c r="D387" s="581">
        <v>18500</v>
      </c>
      <c r="E387" s="580" t="s">
        <v>872</v>
      </c>
      <c r="F387" s="580" t="s">
        <v>100</v>
      </c>
      <c r="G387" s="580" t="s">
        <v>1550</v>
      </c>
      <c r="H387" s="582" t="s">
        <v>954</v>
      </c>
    </row>
    <row r="388" spans="1:8" ht="15">
      <c r="A388" s="583" t="s">
        <v>955</v>
      </c>
      <c r="B388" s="584" t="s">
        <v>956</v>
      </c>
      <c r="C388" s="585">
        <v>0</v>
      </c>
      <c r="D388" s="585">
        <v>0</v>
      </c>
      <c r="E388" s="584" t="s">
        <v>872</v>
      </c>
      <c r="F388" s="584" t="s">
        <v>100</v>
      </c>
      <c r="G388" s="584" t="s">
        <v>1548</v>
      </c>
      <c r="H388" s="586" t="s">
        <v>100</v>
      </c>
    </row>
    <row r="389" spans="1:8" ht="15">
      <c r="A389" s="579" t="s">
        <v>957</v>
      </c>
      <c r="B389" s="580" t="s">
        <v>958</v>
      </c>
      <c r="C389" s="581">
        <v>12500</v>
      </c>
      <c r="D389" s="581">
        <v>244797.1</v>
      </c>
      <c r="E389" s="580" t="s">
        <v>872</v>
      </c>
      <c r="F389" s="580" t="s">
        <v>100</v>
      </c>
      <c r="G389" s="580" t="s">
        <v>1549</v>
      </c>
      <c r="H389" s="582" t="s">
        <v>100</v>
      </c>
    </row>
    <row r="390" spans="1:8" ht="15">
      <c r="A390" s="583" t="s">
        <v>959</v>
      </c>
      <c r="B390" s="584" t="s">
        <v>960</v>
      </c>
      <c r="C390" s="585">
        <v>828504.2</v>
      </c>
      <c r="D390" s="585">
        <v>408825.91</v>
      </c>
      <c r="E390" s="584" t="s">
        <v>872</v>
      </c>
      <c r="F390" s="584" t="s">
        <v>100</v>
      </c>
      <c r="G390" s="584" t="s">
        <v>1549</v>
      </c>
      <c r="H390" s="586" t="s">
        <v>100</v>
      </c>
    </row>
    <row r="391" spans="1:8" ht="15">
      <c r="A391" s="579" t="s">
        <v>961</v>
      </c>
      <c r="B391" s="580" t="s">
        <v>962</v>
      </c>
      <c r="C391" s="581">
        <v>52834</v>
      </c>
      <c r="D391" s="581">
        <v>52834</v>
      </c>
      <c r="E391" s="580" t="s">
        <v>872</v>
      </c>
      <c r="F391" s="580" t="s">
        <v>100</v>
      </c>
      <c r="G391" s="580" t="s">
        <v>1549</v>
      </c>
      <c r="H391" s="582" t="s">
        <v>100</v>
      </c>
    </row>
    <row r="392" spans="1:8" ht="15">
      <c r="A392" s="583" t="s">
        <v>963</v>
      </c>
      <c r="B392" s="584" t="s">
        <v>964</v>
      </c>
      <c r="C392" s="585">
        <v>0</v>
      </c>
      <c r="D392" s="585">
        <v>0</v>
      </c>
      <c r="E392" s="584" t="s">
        <v>872</v>
      </c>
      <c r="F392" s="584" t="s">
        <v>100</v>
      </c>
      <c r="G392" s="584" t="s">
        <v>1549</v>
      </c>
      <c r="H392" s="586" t="s">
        <v>100</v>
      </c>
    </row>
    <row r="393" spans="1:8" ht="15">
      <c r="A393" s="579" t="s">
        <v>965</v>
      </c>
      <c r="B393" s="580" t="s">
        <v>966</v>
      </c>
      <c r="C393" s="581">
        <v>893838.2</v>
      </c>
      <c r="D393" s="581">
        <v>706457.01</v>
      </c>
      <c r="E393" s="580" t="s">
        <v>872</v>
      </c>
      <c r="F393" s="580" t="s">
        <v>100</v>
      </c>
      <c r="G393" s="580" t="s">
        <v>1550</v>
      </c>
      <c r="H393" s="582" t="s">
        <v>967</v>
      </c>
    </row>
    <row r="394" spans="1:8" ht="15">
      <c r="A394" s="583" t="s">
        <v>968</v>
      </c>
      <c r="B394" s="584" t="s">
        <v>938</v>
      </c>
      <c r="C394" s="585">
        <v>1134551.27</v>
      </c>
      <c r="D394" s="585">
        <v>948871.91</v>
      </c>
      <c r="E394" s="584" t="s">
        <v>872</v>
      </c>
      <c r="F394" s="584" t="s">
        <v>100</v>
      </c>
      <c r="G394" s="584" t="s">
        <v>1550</v>
      </c>
      <c r="H394" s="586" t="s">
        <v>969</v>
      </c>
    </row>
    <row r="395" spans="1:8" ht="15">
      <c r="A395" s="579" t="s">
        <v>970</v>
      </c>
      <c r="B395" s="580" t="s">
        <v>971</v>
      </c>
      <c r="C395" s="581">
        <v>0</v>
      </c>
      <c r="D395" s="581">
        <v>0</v>
      </c>
      <c r="E395" s="580" t="s">
        <v>872</v>
      </c>
      <c r="F395" s="580" t="s">
        <v>100</v>
      </c>
      <c r="G395" s="580" t="s">
        <v>1548</v>
      </c>
      <c r="H395" s="582" t="s">
        <v>100</v>
      </c>
    </row>
    <row r="396" spans="1:8" ht="15">
      <c r="A396" s="583" t="s">
        <v>972</v>
      </c>
      <c r="B396" s="584" t="s">
        <v>973</v>
      </c>
      <c r="C396" s="585">
        <v>-2791432.8</v>
      </c>
      <c r="D396" s="585">
        <v>2593802.59</v>
      </c>
      <c r="E396" s="584" t="s">
        <v>872</v>
      </c>
      <c r="F396" s="584" t="s">
        <v>100</v>
      </c>
      <c r="G396" s="584" t="s">
        <v>1549</v>
      </c>
      <c r="H396" s="586" t="s">
        <v>100</v>
      </c>
    </row>
    <row r="397" spans="1:8" ht="15">
      <c r="A397" s="579" t="s">
        <v>974</v>
      </c>
      <c r="B397" s="580" t="s">
        <v>975</v>
      </c>
      <c r="C397" s="581">
        <v>0</v>
      </c>
      <c r="D397" s="581">
        <v>0</v>
      </c>
      <c r="E397" s="580" t="s">
        <v>872</v>
      </c>
      <c r="F397" s="580" t="s">
        <v>100</v>
      </c>
      <c r="G397" s="580" t="s">
        <v>1549</v>
      </c>
      <c r="H397" s="582" t="s">
        <v>100</v>
      </c>
    </row>
    <row r="398" spans="1:8" ht="15">
      <c r="A398" s="583" t="s">
        <v>976</v>
      </c>
      <c r="B398" s="584" t="s">
        <v>977</v>
      </c>
      <c r="C398" s="585">
        <v>7843.97</v>
      </c>
      <c r="D398" s="585">
        <v>10551.77</v>
      </c>
      <c r="E398" s="584" t="s">
        <v>872</v>
      </c>
      <c r="F398" s="584" t="s">
        <v>100</v>
      </c>
      <c r="G398" s="584" t="s">
        <v>1549</v>
      </c>
      <c r="H398" s="586" t="s">
        <v>100</v>
      </c>
    </row>
    <row r="399" spans="1:8" ht="15">
      <c r="A399" s="579" t="s">
        <v>978</v>
      </c>
      <c r="B399" s="580" t="s">
        <v>979</v>
      </c>
      <c r="C399" s="581">
        <v>0</v>
      </c>
      <c r="D399" s="581">
        <v>0</v>
      </c>
      <c r="E399" s="580" t="s">
        <v>872</v>
      </c>
      <c r="F399" s="580" t="s">
        <v>100</v>
      </c>
      <c r="G399" s="580" t="s">
        <v>1549</v>
      </c>
      <c r="H399" s="582" t="s">
        <v>100</v>
      </c>
    </row>
    <row r="400" spans="1:8" ht="15">
      <c r="A400" s="583" t="s">
        <v>980</v>
      </c>
      <c r="B400" s="584" t="s">
        <v>981</v>
      </c>
      <c r="C400" s="585">
        <v>-46979.6</v>
      </c>
      <c r="D400" s="585">
        <v>-4821.68</v>
      </c>
      <c r="E400" s="584" t="s">
        <v>872</v>
      </c>
      <c r="F400" s="584" t="s">
        <v>100</v>
      </c>
      <c r="G400" s="584" t="s">
        <v>1549</v>
      </c>
      <c r="H400" s="586" t="s">
        <v>100</v>
      </c>
    </row>
    <row r="401" spans="1:8" ht="15">
      <c r="A401" s="579" t="s">
        <v>982</v>
      </c>
      <c r="B401" s="580" t="s">
        <v>983</v>
      </c>
      <c r="C401" s="581">
        <v>50496</v>
      </c>
      <c r="D401" s="581">
        <v>0</v>
      </c>
      <c r="E401" s="580" t="s">
        <v>872</v>
      </c>
      <c r="F401" s="580" t="s">
        <v>100</v>
      </c>
      <c r="G401" s="580" t="s">
        <v>1549</v>
      </c>
      <c r="H401" s="582" t="s">
        <v>100</v>
      </c>
    </row>
    <row r="402" spans="1:8" ht="15">
      <c r="A402" s="583" t="s">
        <v>984</v>
      </c>
      <c r="B402" s="584" t="s">
        <v>985</v>
      </c>
      <c r="C402" s="585">
        <v>0.46</v>
      </c>
      <c r="D402" s="585">
        <v>0.46</v>
      </c>
      <c r="E402" s="584" t="s">
        <v>872</v>
      </c>
      <c r="F402" s="584" t="s">
        <v>100</v>
      </c>
      <c r="G402" s="584" t="s">
        <v>1549</v>
      </c>
      <c r="H402" s="586" t="s">
        <v>100</v>
      </c>
    </row>
    <row r="403" spans="1:8" ht="15">
      <c r="A403" s="579" t="s">
        <v>986</v>
      </c>
      <c r="B403" s="580" t="s">
        <v>987</v>
      </c>
      <c r="C403" s="581">
        <v>3706.5</v>
      </c>
      <c r="D403" s="581">
        <v>3706.5</v>
      </c>
      <c r="E403" s="580" t="s">
        <v>872</v>
      </c>
      <c r="F403" s="580" t="s">
        <v>100</v>
      </c>
      <c r="G403" s="580" t="s">
        <v>1549</v>
      </c>
      <c r="H403" s="582" t="s">
        <v>100</v>
      </c>
    </row>
    <row r="404" spans="1:8" ht="15">
      <c r="A404" s="583" t="s">
        <v>988</v>
      </c>
      <c r="B404" s="584" t="s">
        <v>989</v>
      </c>
      <c r="C404" s="585">
        <v>21337.21</v>
      </c>
      <c r="D404" s="585">
        <v>1149.4000000000001</v>
      </c>
      <c r="E404" s="584" t="s">
        <v>872</v>
      </c>
      <c r="F404" s="584" t="s">
        <v>100</v>
      </c>
      <c r="G404" s="584" t="s">
        <v>1549</v>
      </c>
      <c r="H404" s="586" t="s">
        <v>100</v>
      </c>
    </row>
    <row r="405" spans="1:8" ht="15">
      <c r="A405" s="579" t="s">
        <v>990</v>
      </c>
      <c r="B405" s="580" t="s">
        <v>991</v>
      </c>
      <c r="C405" s="581">
        <v>5459.73</v>
      </c>
      <c r="D405" s="581">
        <v>2052.8000000000002</v>
      </c>
      <c r="E405" s="580" t="s">
        <v>872</v>
      </c>
      <c r="F405" s="580" t="s">
        <v>100</v>
      </c>
      <c r="G405" s="580" t="s">
        <v>1549</v>
      </c>
      <c r="H405" s="582" t="s">
        <v>100</v>
      </c>
    </row>
    <row r="406" spans="1:8" ht="15">
      <c r="A406" s="583" t="s">
        <v>992</v>
      </c>
      <c r="B406" s="584" t="s">
        <v>993</v>
      </c>
      <c r="C406" s="585">
        <v>0</v>
      </c>
      <c r="D406" s="585">
        <v>0</v>
      </c>
      <c r="E406" s="584" t="s">
        <v>872</v>
      </c>
      <c r="F406" s="584" t="s">
        <v>100</v>
      </c>
      <c r="G406" s="584" t="s">
        <v>1549</v>
      </c>
      <c r="H406" s="586" t="s">
        <v>100</v>
      </c>
    </row>
    <row r="407" spans="1:8" ht="15">
      <c r="A407" s="579" t="s">
        <v>994</v>
      </c>
      <c r="B407" s="580" t="s">
        <v>1610</v>
      </c>
      <c r="C407" s="581">
        <v>0</v>
      </c>
      <c r="D407" s="581">
        <v>0</v>
      </c>
      <c r="E407" s="580" t="s">
        <v>872</v>
      </c>
      <c r="F407" s="580" t="s">
        <v>100</v>
      </c>
      <c r="G407" s="580" t="s">
        <v>1549</v>
      </c>
      <c r="H407" s="582" t="s">
        <v>100</v>
      </c>
    </row>
    <row r="408" spans="1:8" ht="15">
      <c r="A408" s="583" t="s">
        <v>996</v>
      </c>
      <c r="B408" s="584" t="s">
        <v>997</v>
      </c>
      <c r="C408" s="585">
        <v>992.42</v>
      </c>
      <c r="D408" s="585">
        <v>1100</v>
      </c>
      <c r="E408" s="584" t="s">
        <v>872</v>
      </c>
      <c r="F408" s="584" t="s">
        <v>100</v>
      </c>
      <c r="G408" s="584" t="s">
        <v>1549</v>
      </c>
      <c r="H408" s="586" t="s">
        <v>100</v>
      </c>
    </row>
    <row r="409" spans="1:8" ht="15">
      <c r="A409" s="579" t="s">
        <v>998</v>
      </c>
      <c r="B409" s="580" t="s">
        <v>999</v>
      </c>
      <c r="C409" s="581">
        <v>8211.25</v>
      </c>
      <c r="D409" s="581">
        <v>17599.7</v>
      </c>
      <c r="E409" s="580" t="s">
        <v>872</v>
      </c>
      <c r="F409" s="580" t="s">
        <v>100</v>
      </c>
      <c r="G409" s="580" t="s">
        <v>1549</v>
      </c>
      <c r="H409" s="582" t="s">
        <v>100</v>
      </c>
    </row>
    <row r="410" spans="1:8" ht="15">
      <c r="A410" s="583" t="s">
        <v>1000</v>
      </c>
      <c r="B410" s="584" t="s">
        <v>1001</v>
      </c>
      <c r="C410" s="585">
        <v>0</v>
      </c>
      <c r="D410" s="585">
        <v>0</v>
      </c>
      <c r="E410" s="584" t="s">
        <v>872</v>
      </c>
      <c r="F410" s="584" t="s">
        <v>100</v>
      </c>
      <c r="G410" s="584" t="s">
        <v>1549</v>
      </c>
      <c r="H410" s="586" t="s">
        <v>100</v>
      </c>
    </row>
    <row r="411" spans="1:8" ht="15">
      <c r="A411" s="579" t="s">
        <v>1002</v>
      </c>
      <c r="B411" s="580" t="s">
        <v>1003</v>
      </c>
      <c r="C411" s="581">
        <v>-2740364.86</v>
      </c>
      <c r="D411" s="581">
        <v>2625141.54</v>
      </c>
      <c r="E411" s="580" t="s">
        <v>872</v>
      </c>
      <c r="F411" s="580" t="s">
        <v>100</v>
      </c>
      <c r="G411" s="580" t="s">
        <v>1550</v>
      </c>
      <c r="H411" s="582" t="s">
        <v>1004</v>
      </c>
    </row>
    <row r="412" spans="1:8" ht="15">
      <c r="A412" s="583" t="s">
        <v>1005</v>
      </c>
      <c r="B412" s="584" t="s">
        <v>1006</v>
      </c>
      <c r="C412" s="585">
        <v>63148747.859999999</v>
      </c>
      <c r="D412" s="585">
        <v>68391596.150000006</v>
      </c>
      <c r="E412" s="584" t="s">
        <v>872</v>
      </c>
      <c r="F412" s="584" t="s">
        <v>100</v>
      </c>
      <c r="G412" s="584" t="s">
        <v>1550</v>
      </c>
      <c r="H412" s="586" t="s">
        <v>1007</v>
      </c>
    </row>
    <row r="413" spans="1:8" ht="15">
      <c r="A413" s="579" t="s">
        <v>1008</v>
      </c>
      <c r="B413" s="580" t="s">
        <v>1009</v>
      </c>
      <c r="C413" s="581">
        <v>0</v>
      </c>
      <c r="D413" s="581">
        <v>0</v>
      </c>
      <c r="E413" s="580" t="s">
        <v>872</v>
      </c>
      <c r="F413" s="580" t="s">
        <v>100</v>
      </c>
      <c r="G413" s="580" t="s">
        <v>1548</v>
      </c>
      <c r="H413" s="582" t="s">
        <v>100</v>
      </c>
    </row>
    <row r="414" spans="1:8" ht="15">
      <c r="A414" s="583" t="s">
        <v>1010</v>
      </c>
      <c r="B414" s="584" t="s">
        <v>1011</v>
      </c>
      <c r="C414" s="585">
        <v>0</v>
      </c>
      <c r="D414" s="585">
        <v>0</v>
      </c>
      <c r="E414" s="584" t="s">
        <v>872</v>
      </c>
      <c r="F414" s="584" t="s">
        <v>100</v>
      </c>
      <c r="G414" s="584" t="s">
        <v>1548</v>
      </c>
      <c r="H414" s="586" t="s">
        <v>100</v>
      </c>
    </row>
    <row r="415" spans="1:8" ht="15">
      <c r="A415" s="579" t="s">
        <v>1012</v>
      </c>
      <c r="B415" s="580" t="s">
        <v>1013</v>
      </c>
      <c r="C415" s="581">
        <v>0</v>
      </c>
      <c r="D415" s="581">
        <v>0</v>
      </c>
      <c r="E415" s="580" t="s">
        <v>872</v>
      </c>
      <c r="F415" s="580" t="s">
        <v>100</v>
      </c>
      <c r="G415" s="580" t="s">
        <v>1548</v>
      </c>
      <c r="H415" s="582" t="s">
        <v>100</v>
      </c>
    </row>
    <row r="416" spans="1:8" ht="15">
      <c r="A416" s="583" t="s">
        <v>1014</v>
      </c>
      <c r="B416" s="584" t="s">
        <v>1015</v>
      </c>
      <c r="C416" s="585">
        <v>-23383683.399999999</v>
      </c>
      <c r="D416" s="585">
        <v>-23383683.399999999</v>
      </c>
      <c r="E416" s="584" t="s">
        <v>872</v>
      </c>
      <c r="F416" s="584" t="s">
        <v>100</v>
      </c>
      <c r="G416" s="584" t="s">
        <v>1549</v>
      </c>
      <c r="H416" s="586" t="s">
        <v>100</v>
      </c>
    </row>
    <row r="417" spans="1:8" ht="15">
      <c r="A417" s="579" t="s">
        <v>1016</v>
      </c>
      <c r="B417" s="580" t="s">
        <v>106</v>
      </c>
      <c r="C417" s="581">
        <v>6436775.0800000001</v>
      </c>
      <c r="D417" s="581">
        <v>-601816.24</v>
      </c>
      <c r="E417" s="580" t="s">
        <v>872</v>
      </c>
      <c r="F417" s="580" t="s">
        <v>100</v>
      </c>
      <c r="G417" s="580" t="s">
        <v>1584</v>
      </c>
      <c r="H417" s="582" t="s">
        <v>869</v>
      </c>
    </row>
    <row r="418" spans="1:8" ht="15">
      <c r="A418" s="583" t="s">
        <v>1017</v>
      </c>
      <c r="B418" s="584" t="s">
        <v>1018</v>
      </c>
      <c r="C418" s="585">
        <v>-3131550</v>
      </c>
      <c r="D418" s="585">
        <v>-3131550</v>
      </c>
      <c r="E418" s="584" t="s">
        <v>872</v>
      </c>
      <c r="F418" s="584" t="s">
        <v>100</v>
      </c>
      <c r="G418" s="584" t="s">
        <v>1549</v>
      </c>
      <c r="H418" s="586" t="s">
        <v>100</v>
      </c>
    </row>
    <row r="419" spans="1:8" ht="15">
      <c r="A419" s="579" t="s">
        <v>1019</v>
      </c>
      <c r="B419" s="580" t="s">
        <v>1020</v>
      </c>
      <c r="C419" s="581">
        <v>703434.84</v>
      </c>
      <c r="D419" s="581">
        <v>703434.84</v>
      </c>
      <c r="E419" s="580" t="s">
        <v>872</v>
      </c>
      <c r="F419" s="580" t="s">
        <v>100</v>
      </c>
      <c r="G419" s="580" t="s">
        <v>1549</v>
      </c>
      <c r="H419" s="582" t="s">
        <v>100</v>
      </c>
    </row>
    <row r="420" spans="1:8" ht="15">
      <c r="A420" s="583" t="s">
        <v>1021</v>
      </c>
      <c r="B420" s="584" t="s">
        <v>1022</v>
      </c>
      <c r="C420" s="585">
        <v>-20325146.149999999</v>
      </c>
      <c r="D420" s="585">
        <v>-20325146.149999999</v>
      </c>
      <c r="E420" s="584" t="s">
        <v>872</v>
      </c>
      <c r="F420" s="584" t="s">
        <v>100</v>
      </c>
      <c r="G420" s="584" t="s">
        <v>1549</v>
      </c>
      <c r="H420" s="586" t="s">
        <v>100</v>
      </c>
    </row>
    <row r="421" spans="1:8" ht="15">
      <c r="A421" s="579" t="s">
        <v>1023</v>
      </c>
      <c r="B421" s="580" t="s">
        <v>1024</v>
      </c>
      <c r="C421" s="581">
        <v>0</v>
      </c>
      <c r="D421" s="581">
        <v>0</v>
      </c>
      <c r="E421" s="580" t="s">
        <v>872</v>
      </c>
      <c r="F421" s="580" t="s">
        <v>100</v>
      </c>
      <c r="G421" s="580" t="s">
        <v>1549</v>
      </c>
      <c r="H421" s="582" t="s">
        <v>100</v>
      </c>
    </row>
    <row r="422" spans="1:8" ht="15">
      <c r="A422" s="583" t="s">
        <v>1025</v>
      </c>
      <c r="B422" s="584" t="s">
        <v>1026</v>
      </c>
      <c r="C422" s="585">
        <v>-46136944.710000001</v>
      </c>
      <c r="D422" s="585">
        <v>-46136944.710000001</v>
      </c>
      <c r="E422" s="584" t="s">
        <v>872</v>
      </c>
      <c r="F422" s="584" t="s">
        <v>100</v>
      </c>
      <c r="G422" s="584" t="s">
        <v>1550</v>
      </c>
      <c r="H422" s="586" t="s">
        <v>1027</v>
      </c>
    </row>
    <row r="423" spans="1:8" ht="15">
      <c r="A423" s="579" t="s">
        <v>1028</v>
      </c>
      <c r="B423" s="580" t="s">
        <v>1029</v>
      </c>
      <c r="C423" s="581">
        <v>0</v>
      </c>
      <c r="D423" s="581">
        <v>0</v>
      </c>
      <c r="E423" s="580" t="s">
        <v>872</v>
      </c>
      <c r="F423" s="580" t="s">
        <v>100</v>
      </c>
      <c r="G423" s="580" t="s">
        <v>1548</v>
      </c>
      <c r="H423" s="582" t="s">
        <v>100</v>
      </c>
    </row>
    <row r="424" spans="1:8" ht="15">
      <c r="A424" s="583" t="s">
        <v>1030</v>
      </c>
      <c r="B424" s="584" t="s">
        <v>1031</v>
      </c>
      <c r="C424" s="585">
        <v>-14521176.75</v>
      </c>
      <c r="D424" s="585">
        <v>-14521176.75</v>
      </c>
      <c r="E424" s="584" t="s">
        <v>872</v>
      </c>
      <c r="F424" s="584" t="s">
        <v>100</v>
      </c>
      <c r="G424" s="584" t="s">
        <v>1549</v>
      </c>
      <c r="H424" s="586" t="s">
        <v>100</v>
      </c>
    </row>
    <row r="425" spans="1:8" ht="15">
      <c r="A425" s="579" t="s">
        <v>1032</v>
      </c>
      <c r="B425" s="580" t="s">
        <v>1033</v>
      </c>
      <c r="C425" s="581">
        <v>-87120</v>
      </c>
      <c r="D425" s="581">
        <v>-87120</v>
      </c>
      <c r="E425" s="580" t="s">
        <v>872</v>
      </c>
      <c r="F425" s="580" t="s">
        <v>100</v>
      </c>
      <c r="G425" s="580" t="s">
        <v>1549</v>
      </c>
      <c r="H425" s="582" t="s">
        <v>100</v>
      </c>
    </row>
    <row r="426" spans="1:8" ht="15">
      <c r="A426" s="583" t="s">
        <v>1034</v>
      </c>
      <c r="B426" s="584" t="s">
        <v>1035</v>
      </c>
      <c r="C426" s="585">
        <v>426510</v>
      </c>
      <c r="D426" s="585">
        <v>426510</v>
      </c>
      <c r="E426" s="584" t="s">
        <v>872</v>
      </c>
      <c r="F426" s="584" t="s">
        <v>100</v>
      </c>
      <c r="G426" s="584" t="s">
        <v>1549</v>
      </c>
      <c r="H426" s="586" t="s">
        <v>100</v>
      </c>
    </row>
    <row r="427" spans="1:8" ht="15">
      <c r="A427" s="579" t="s">
        <v>1036</v>
      </c>
      <c r="B427" s="580" t="s">
        <v>1037</v>
      </c>
      <c r="C427" s="581">
        <v>6746279</v>
      </c>
      <c r="D427" s="581">
        <v>6746279</v>
      </c>
      <c r="E427" s="580" t="s">
        <v>872</v>
      </c>
      <c r="F427" s="580" t="s">
        <v>100</v>
      </c>
      <c r="G427" s="580" t="s">
        <v>1549</v>
      </c>
      <c r="H427" s="582" t="s">
        <v>100</v>
      </c>
    </row>
    <row r="428" spans="1:8" ht="15">
      <c r="A428" s="583" t="s">
        <v>1038</v>
      </c>
      <c r="B428" s="584" t="s">
        <v>440</v>
      </c>
      <c r="C428" s="585">
        <v>19625</v>
      </c>
      <c r="D428" s="585">
        <v>19625</v>
      </c>
      <c r="E428" s="584" t="s">
        <v>872</v>
      </c>
      <c r="F428" s="584" t="s">
        <v>100</v>
      </c>
      <c r="G428" s="584" t="s">
        <v>1549</v>
      </c>
      <c r="H428" s="586" t="s">
        <v>100</v>
      </c>
    </row>
    <row r="429" spans="1:8" ht="15">
      <c r="A429" s="579" t="s">
        <v>1614</v>
      </c>
      <c r="B429" s="580" t="s">
        <v>1615</v>
      </c>
      <c r="C429" s="581">
        <v>204864.71</v>
      </c>
      <c r="D429" s="581">
        <v>204864.71</v>
      </c>
      <c r="E429" s="580" t="s">
        <v>872</v>
      </c>
      <c r="F429" s="580" t="s">
        <v>100</v>
      </c>
      <c r="G429" s="580" t="s">
        <v>1549</v>
      </c>
      <c r="H429" s="582" t="s">
        <v>100</v>
      </c>
    </row>
    <row r="430" spans="1:8" ht="15">
      <c r="A430" s="583" t="s">
        <v>1039</v>
      </c>
      <c r="B430" s="584" t="s">
        <v>1040</v>
      </c>
      <c r="C430" s="585">
        <v>-7211018.04</v>
      </c>
      <c r="D430" s="585">
        <v>-7211018.04</v>
      </c>
      <c r="E430" s="584" t="s">
        <v>872</v>
      </c>
      <c r="F430" s="584" t="s">
        <v>100</v>
      </c>
      <c r="G430" s="584" t="s">
        <v>1550</v>
      </c>
      <c r="H430" s="586" t="s">
        <v>1041</v>
      </c>
    </row>
    <row r="431" spans="1:8" ht="15">
      <c r="A431" s="579" t="s">
        <v>1042</v>
      </c>
      <c r="B431" s="580" t="s">
        <v>1043</v>
      </c>
      <c r="C431" s="581">
        <v>0</v>
      </c>
      <c r="D431" s="581">
        <v>0</v>
      </c>
      <c r="E431" s="580" t="s">
        <v>872</v>
      </c>
      <c r="F431" s="580" t="s">
        <v>100</v>
      </c>
      <c r="G431" s="580" t="s">
        <v>1548</v>
      </c>
      <c r="H431" s="582" t="s">
        <v>100</v>
      </c>
    </row>
    <row r="432" spans="1:8" ht="15">
      <c r="A432" s="583" t="s">
        <v>1044</v>
      </c>
      <c r="B432" s="584" t="s">
        <v>1045</v>
      </c>
      <c r="C432" s="585">
        <v>0</v>
      </c>
      <c r="D432" s="585">
        <v>0</v>
      </c>
      <c r="E432" s="584" t="s">
        <v>872</v>
      </c>
      <c r="F432" s="584" t="s">
        <v>100</v>
      </c>
      <c r="G432" s="584" t="s">
        <v>1549</v>
      </c>
      <c r="H432" s="586" t="s">
        <v>100</v>
      </c>
    </row>
    <row r="433" spans="1:8" ht="15">
      <c r="A433" s="579" t="s">
        <v>1046</v>
      </c>
      <c r="B433" s="580" t="s">
        <v>1047</v>
      </c>
      <c r="C433" s="581">
        <v>0</v>
      </c>
      <c r="D433" s="581">
        <v>0</v>
      </c>
      <c r="E433" s="580" t="s">
        <v>872</v>
      </c>
      <c r="F433" s="580" t="s">
        <v>100</v>
      </c>
      <c r="G433" s="580" t="s">
        <v>1549</v>
      </c>
      <c r="H433" s="582" t="s">
        <v>100</v>
      </c>
    </row>
    <row r="434" spans="1:8" ht="15">
      <c r="A434" s="583" t="s">
        <v>1048</v>
      </c>
      <c r="B434" s="584" t="s">
        <v>1049</v>
      </c>
      <c r="C434" s="585">
        <v>0</v>
      </c>
      <c r="D434" s="585">
        <v>0</v>
      </c>
      <c r="E434" s="584" t="s">
        <v>872</v>
      </c>
      <c r="F434" s="584" t="s">
        <v>100</v>
      </c>
      <c r="G434" s="584" t="s">
        <v>1549</v>
      </c>
      <c r="H434" s="586" t="s">
        <v>100</v>
      </c>
    </row>
    <row r="435" spans="1:8" ht="15">
      <c r="A435" s="579" t="s">
        <v>1050</v>
      </c>
      <c r="B435" s="580" t="s">
        <v>1616</v>
      </c>
      <c r="C435" s="581">
        <v>0</v>
      </c>
      <c r="D435" s="581">
        <v>0</v>
      </c>
      <c r="E435" s="580" t="s">
        <v>872</v>
      </c>
      <c r="F435" s="580" t="s">
        <v>100</v>
      </c>
      <c r="G435" s="580" t="s">
        <v>1549</v>
      </c>
      <c r="H435" s="582" t="s">
        <v>100</v>
      </c>
    </row>
    <row r="436" spans="1:8" ht="15">
      <c r="A436" s="583" t="s">
        <v>1052</v>
      </c>
      <c r="B436" s="584" t="s">
        <v>1617</v>
      </c>
      <c r="C436" s="585">
        <v>-21900</v>
      </c>
      <c r="D436" s="585">
        <v>-3000</v>
      </c>
      <c r="E436" s="584" t="s">
        <v>872</v>
      </c>
      <c r="F436" s="584" t="s">
        <v>100</v>
      </c>
      <c r="G436" s="584" t="s">
        <v>1549</v>
      </c>
      <c r="H436" s="586" t="s">
        <v>100</v>
      </c>
    </row>
    <row r="437" spans="1:8" ht="15">
      <c r="A437" s="579" t="s">
        <v>1054</v>
      </c>
      <c r="B437" s="580" t="s">
        <v>103</v>
      </c>
      <c r="C437" s="581">
        <v>-4990893.17</v>
      </c>
      <c r="D437" s="581">
        <v>-4991270.32</v>
      </c>
      <c r="E437" s="580" t="s">
        <v>872</v>
      </c>
      <c r="F437" s="580" t="s">
        <v>100</v>
      </c>
      <c r="G437" s="580" t="s">
        <v>1549</v>
      </c>
      <c r="H437" s="582" t="s">
        <v>100</v>
      </c>
    </row>
    <row r="438" spans="1:8" ht="15">
      <c r="A438" s="583" t="s">
        <v>1056</v>
      </c>
      <c r="B438" s="584" t="s">
        <v>1057</v>
      </c>
      <c r="C438" s="585">
        <v>0</v>
      </c>
      <c r="D438" s="585">
        <v>0</v>
      </c>
      <c r="E438" s="584" t="s">
        <v>872</v>
      </c>
      <c r="F438" s="584" t="s">
        <v>100</v>
      </c>
      <c r="G438" s="584" t="s">
        <v>1548</v>
      </c>
      <c r="H438" s="586" t="s">
        <v>100</v>
      </c>
    </row>
    <row r="439" spans="1:8" ht="15">
      <c r="A439" s="579" t="s">
        <v>1058</v>
      </c>
      <c r="B439" s="580" t="s">
        <v>1031</v>
      </c>
      <c r="C439" s="581">
        <v>-542200.19999999995</v>
      </c>
      <c r="D439" s="581">
        <v>-542200.19999999995</v>
      </c>
      <c r="E439" s="580" t="s">
        <v>872</v>
      </c>
      <c r="F439" s="580" t="s">
        <v>100</v>
      </c>
      <c r="G439" s="580" t="s">
        <v>1549</v>
      </c>
      <c r="H439" s="582" t="s">
        <v>100</v>
      </c>
    </row>
    <row r="440" spans="1:8" ht="15">
      <c r="A440" s="583" t="s">
        <v>1059</v>
      </c>
      <c r="B440" s="584" t="s">
        <v>1060</v>
      </c>
      <c r="C440" s="585">
        <v>0</v>
      </c>
      <c r="D440" s="585">
        <v>0</v>
      </c>
      <c r="E440" s="584" t="s">
        <v>872</v>
      </c>
      <c r="F440" s="584" t="s">
        <v>100</v>
      </c>
      <c r="G440" s="584" t="s">
        <v>1549</v>
      </c>
      <c r="H440" s="586" t="s">
        <v>100</v>
      </c>
    </row>
    <row r="441" spans="1:8" ht="15">
      <c r="A441" s="579" t="s">
        <v>1061</v>
      </c>
      <c r="B441" s="580" t="s">
        <v>1062</v>
      </c>
      <c r="C441" s="581">
        <v>7898.56</v>
      </c>
      <c r="D441" s="581">
        <v>7898.56</v>
      </c>
      <c r="E441" s="580" t="s">
        <v>872</v>
      </c>
      <c r="F441" s="580" t="s">
        <v>100</v>
      </c>
      <c r="G441" s="580" t="s">
        <v>1549</v>
      </c>
      <c r="H441" s="582" t="s">
        <v>100</v>
      </c>
    </row>
    <row r="442" spans="1:8" ht="15">
      <c r="A442" s="583" t="s">
        <v>1063</v>
      </c>
      <c r="B442" s="584" t="s">
        <v>1064</v>
      </c>
      <c r="C442" s="585">
        <v>-534301.64</v>
      </c>
      <c r="D442" s="585">
        <v>-534301.64</v>
      </c>
      <c r="E442" s="584" t="s">
        <v>872</v>
      </c>
      <c r="F442" s="584" t="s">
        <v>100</v>
      </c>
      <c r="G442" s="584" t="s">
        <v>1550</v>
      </c>
      <c r="H442" s="586" t="s">
        <v>1065</v>
      </c>
    </row>
    <row r="443" spans="1:8" ht="15">
      <c r="A443" s="579" t="s">
        <v>1066</v>
      </c>
      <c r="B443" s="580" t="s">
        <v>1067</v>
      </c>
      <c r="C443" s="581">
        <v>-5547094.8099999996</v>
      </c>
      <c r="D443" s="581">
        <v>-5528571.96</v>
      </c>
      <c r="E443" s="580" t="s">
        <v>872</v>
      </c>
      <c r="F443" s="580" t="s">
        <v>100</v>
      </c>
      <c r="G443" s="580" t="s">
        <v>1550</v>
      </c>
      <c r="H443" s="582" t="s">
        <v>1068</v>
      </c>
    </row>
    <row r="444" spans="1:8" ht="15">
      <c r="A444" s="583" t="s">
        <v>1069</v>
      </c>
      <c r="B444" s="584" t="s">
        <v>1070</v>
      </c>
      <c r="C444" s="585">
        <v>-58895057.560000002</v>
      </c>
      <c r="D444" s="585">
        <v>-58876534.710000001</v>
      </c>
      <c r="E444" s="584" t="s">
        <v>872</v>
      </c>
      <c r="F444" s="584" t="s">
        <v>100</v>
      </c>
      <c r="G444" s="584" t="s">
        <v>1550</v>
      </c>
      <c r="H444" s="586" t="s">
        <v>1071</v>
      </c>
    </row>
    <row r="445" spans="1:8" ht="15">
      <c r="A445" s="579" t="s">
        <v>1072</v>
      </c>
      <c r="B445" s="580" t="s">
        <v>1073</v>
      </c>
      <c r="C445" s="581">
        <v>0</v>
      </c>
      <c r="D445" s="581">
        <v>0</v>
      </c>
      <c r="E445" s="580" t="s">
        <v>872</v>
      </c>
      <c r="F445" s="580" t="s">
        <v>100</v>
      </c>
      <c r="G445" s="580" t="s">
        <v>1548</v>
      </c>
      <c r="H445" s="582" t="s">
        <v>100</v>
      </c>
    </row>
    <row r="446" spans="1:8" ht="15">
      <c r="A446" s="583" t="s">
        <v>1074</v>
      </c>
      <c r="B446" s="584" t="s">
        <v>1075</v>
      </c>
      <c r="C446" s="585">
        <v>0</v>
      </c>
      <c r="D446" s="585">
        <v>0</v>
      </c>
      <c r="E446" s="584" t="s">
        <v>872</v>
      </c>
      <c r="F446" s="584" t="s">
        <v>100</v>
      </c>
      <c r="G446" s="584" t="s">
        <v>1549</v>
      </c>
      <c r="H446" s="586" t="s">
        <v>100</v>
      </c>
    </row>
    <row r="447" spans="1:8" ht="15">
      <c r="A447" s="579" t="s">
        <v>1076</v>
      </c>
      <c r="B447" s="580" t="s">
        <v>1077</v>
      </c>
      <c r="C447" s="581">
        <v>0</v>
      </c>
      <c r="D447" s="581">
        <v>0</v>
      </c>
      <c r="E447" s="580" t="s">
        <v>872</v>
      </c>
      <c r="F447" s="580" t="s">
        <v>100</v>
      </c>
      <c r="G447" s="580" t="s">
        <v>1549</v>
      </c>
      <c r="H447" s="582" t="s">
        <v>100</v>
      </c>
    </row>
    <row r="448" spans="1:8" ht="15">
      <c r="A448" s="583" t="s">
        <v>1078</v>
      </c>
      <c r="B448" s="584" t="s">
        <v>1079</v>
      </c>
      <c r="C448" s="585">
        <v>-6763553.0099999998</v>
      </c>
      <c r="D448" s="585">
        <v>-6666255.75</v>
      </c>
      <c r="E448" s="584" t="s">
        <v>872</v>
      </c>
      <c r="F448" s="584" t="s">
        <v>100</v>
      </c>
      <c r="G448" s="584" t="s">
        <v>1549</v>
      </c>
      <c r="H448" s="586" t="s">
        <v>100</v>
      </c>
    </row>
    <row r="449" spans="1:8" ht="15">
      <c r="A449" s="579" t="s">
        <v>1080</v>
      </c>
      <c r="B449" s="580" t="s">
        <v>1081</v>
      </c>
      <c r="C449" s="581">
        <v>-6763553.0099999998</v>
      </c>
      <c r="D449" s="581">
        <v>-6666255.75</v>
      </c>
      <c r="E449" s="580" t="s">
        <v>872</v>
      </c>
      <c r="F449" s="580" t="s">
        <v>100</v>
      </c>
      <c r="G449" s="580" t="s">
        <v>1550</v>
      </c>
      <c r="H449" s="582" t="s">
        <v>1082</v>
      </c>
    </row>
    <row r="450" spans="1:8" ht="15">
      <c r="A450" s="583" t="s">
        <v>1083</v>
      </c>
      <c r="B450" s="584" t="s">
        <v>1084</v>
      </c>
      <c r="C450" s="585">
        <v>0</v>
      </c>
      <c r="D450" s="585">
        <v>0</v>
      </c>
      <c r="E450" s="584" t="s">
        <v>872</v>
      </c>
      <c r="F450" s="584" t="s">
        <v>100</v>
      </c>
      <c r="G450" s="584" t="s">
        <v>1548</v>
      </c>
      <c r="H450" s="586" t="s">
        <v>100</v>
      </c>
    </row>
    <row r="451" spans="1:8" ht="15">
      <c r="A451" s="579" t="s">
        <v>1085</v>
      </c>
      <c r="B451" s="580" t="s">
        <v>1086</v>
      </c>
      <c r="C451" s="581">
        <v>0</v>
      </c>
      <c r="D451" s="581">
        <v>0</v>
      </c>
      <c r="E451" s="580" t="s">
        <v>872</v>
      </c>
      <c r="F451" s="580" t="s">
        <v>100</v>
      </c>
      <c r="G451" s="580" t="s">
        <v>1548</v>
      </c>
      <c r="H451" s="582" t="s">
        <v>100</v>
      </c>
    </row>
    <row r="452" spans="1:8" ht="15">
      <c r="A452" s="583" t="s">
        <v>1087</v>
      </c>
      <c r="B452" s="584" t="s">
        <v>1088</v>
      </c>
      <c r="C452" s="585">
        <v>-582791.57999999996</v>
      </c>
      <c r="D452" s="585">
        <v>-582791.57999999996</v>
      </c>
      <c r="E452" s="584" t="s">
        <v>872</v>
      </c>
      <c r="F452" s="584" t="s">
        <v>100</v>
      </c>
      <c r="G452" s="584" t="s">
        <v>1549</v>
      </c>
      <c r="H452" s="586" t="s">
        <v>100</v>
      </c>
    </row>
    <row r="453" spans="1:8" ht="15">
      <c r="A453" s="579" t="s">
        <v>1089</v>
      </c>
      <c r="B453" s="580" t="s">
        <v>1090</v>
      </c>
      <c r="C453" s="581">
        <v>-582791.57999999996</v>
      </c>
      <c r="D453" s="581">
        <v>-582791.57999999996</v>
      </c>
      <c r="E453" s="580" t="s">
        <v>872</v>
      </c>
      <c r="F453" s="580" t="s">
        <v>100</v>
      </c>
      <c r="G453" s="580" t="s">
        <v>1550</v>
      </c>
      <c r="H453" s="582" t="s">
        <v>1091</v>
      </c>
    </row>
    <row r="454" spans="1:8" ht="15">
      <c r="A454" s="583" t="s">
        <v>1092</v>
      </c>
      <c r="B454" s="584" t="s">
        <v>1093</v>
      </c>
      <c r="C454" s="585">
        <v>0</v>
      </c>
      <c r="D454" s="585">
        <v>0</v>
      </c>
      <c r="E454" s="584" t="s">
        <v>872</v>
      </c>
      <c r="F454" s="584" t="s">
        <v>100</v>
      </c>
      <c r="G454" s="584" t="s">
        <v>1548</v>
      </c>
      <c r="H454" s="586" t="s">
        <v>100</v>
      </c>
    </row>
    <row r="455" spans="1:8" ht="15">
      <c r="A455" s="579" t="s">
        <v>1094</v>
      </c>
      <c r="B455" s="580" t="s">
        <v>1095</v>
      </c>
      <c r="C455" s="581">
        <v>0</v>
      </c>
      <c r="D455" s="581">
        <v>0</v>
      </c>
      <c r="E455" s="580" t="s">
        <v>872</v>
      </c>
      <c r="F455" s="580" t="s">
        <v>100</v>
      </c>
      <c r="G455" s="580" t="s">
        <v>1548</v>
      </c>
      <c r="H455" s="582" t="s">
        <v>100</v>
      </c>
    </row>
    <row r="456" spans="1:8" ht="15">
      <c r="A456" s="583" t="s">
        <v>1096</v>
      </c>
      <c r="B456" s="584" t="s">
        <v>1097</v>
      </c>
      <c r="C456" s="585">
        <v>0</v>
      </c>
      <c r="D456" s="585">
        <v>0</v>
      </c>
      <c r="E456" s="584" t="s">
        <v>872</v>
      </c>
      <c r="F456" s="584" t="s">
        <v>100</v>
      </c>
      <c r="G456" s="584" t="s">
        <v>1549</v>
      </c>
      <c r="H456" s="586" t="s">
        <v>100</v>
      </c>
    </row>
    <row r="457" spans="1:8" ht="15">
      <c r="A457" s="579" t="s">
        <v>1098</v>
      </c>
      <c r="B457" s="580" t="s">
        <v>1099</v>
      </c>
      <c r="C457" s="581">
        <v>0</v>
      </c>
      <c r="D457" s="581">
        <v>0</v>
      </c>
      <c r="E457" s="580" t="s">
        <v>872</v>
      </c>
      <c r="F457" s="580" t="s">
        <v>100</v>
      </c>
      <c r="G457" s="580" t="s">
        <v>1549</v>
      </c>
      <c r="H457" s="582" t="s">
        <v>100</v>
      </c>
    </row>
    <row r="458" spans="1:8" ht="15">
      <c r="A458" s="583" t="s">
        <v>1100</v>
      </c>
      <c r="B458" s="584" t="s">
        <v>1101</v>
      </c>
      <c r="C458" s="585">
        <v>0</v>
      </c>
      <c r="D458" s="585">
        <v>0</v>
      </c>
      <c r="E458" s="584" t="s">
        <v>872</v>
      </c>
      <c r="F458" s="584" t="s">
        <v>100</v>
      </c>
      <c r="G458" s="584" t="s">
        <v>1550</v>
      </c>
      <c r="H458" s="586" t="s">
        <v>1102</v>
      </c>
    </row>
    <row r="459" spans="1:8" ht="15">
      <c r="A459" s="579" t="s">
        <v>1103</v>
      </c>
      <c r="B459" s="580" t="s">
        <v>1104</v>
      </c>
      <c r="C459" s="581">
        <v>0</v>
      </c>
      <c r="D459" s="581">
        <v>0</v>
      </c>
      <c r="E459" s="580" t="s">
        <v>872</v>
      </c>
      <c r="F459" s="580" t="s">
        <v>100</v>
      </c>
      <c r="G459" s="580" t="s">
        <v>1548</v>
      </c>
      <c r="H459" s="582" t="s">
        <v>100</v>
      </c>
    </row>
    <row r="460" spans="1:8" ht="15">
      <c r="A460" s="583" t="s">
        <v>1105</v>
      </c>
      <c r="B460" s="584" t="s">
        <v>155</v>
      </c>
      <c r="C460" s="585">
        <v>0</v>
      </c>
      <c r="D460" s="585">
        <v>0</v>
      </c>
      <c r="E460" s="584" t="s">
        <v>872</v>
      </c>
      <c r="F460" s="584" t="s">
        <v>100</v>
      </c>
      <c r="G460" s="584" t="s">
        <v>1548</v>
      </c>
      <c r="H460" s="586" t="s">
        <v>100</v>
      </c>
    </row>
    <row r="461" spans="1:8" ht="15">
      <c r="A461" s="579" t="s">
        <v>1106</v>
      </c>
      <c r="B461" s="580" t="s">
        <v>1107</v>
      </c>
      <c r="C461" s="581">
        <v>-229687.62</v>
      </c>
      <c r="D461" s="581">
        <v>-250346.23999999999</v>
      </c>
      <c r="E461" s="580" t="s">
        <v>872</v>
      </c>
      <c r="F461" s="580" t="s">
        <v>100</v>
      </c>
      <c r="G461" s="580" t="s">
        <v>1549</v>
      </c>
      <c r="H461" s="582" t="s">
        <v>100</v>
      </c>
    </row>
    <row r="462" spans="1:8" ht="15">
      <c r="A462" s="583" t="s">
        <v>1108</v>
      </c>
      <c r="B462" s="584" t="s">
        <v>440</v>
      </c>
      <c r="C462" s="585">
        <v>0</v>
      </c>
      <c r="D462" s="585">
        <v>0</v>
      </c>
      <c r="E462" s="584" t="s">
        <v>872</v>
      </c>
      <c r="F462" s="584" t="s">
        <v>100</v>
      </c>
      <c r="G462" s="584" t="s">
        <v>1549</v>
      </c>
      <c r="H462" s="586" t="s">
        <v>100</v>
      </c>
    </row>
    <row r="463" spans="1:8" ht="15">
      <c r="A463" s="579" t="s">
        <v>1109</v>
      </c>
      <c r="B463" s="580" t="s">
        <v>1110</v>
      </c>
      <c r="C463" s="581">
        <v>0</v>
      </c>
      <c r="D463" s="581">
        <v>0</v>
      </c>
      <c r="E463" s="580" t="s">
        <v>872</v>
      </c>
      <c r="F463" s="580" t="s">
        <v>100</v>
      </c>
      <c r="G463" s="580" t="s">
        <v>1549</v>
      </c>
      <c r="H463" s="582" t="s">
        <v>100</v>
      </c>
    </row>
    <row r="464" spans="1:8" ht="15">
      <c r="A464" s="583" t="s">
        <v>1111</v>
      </c>
      <c r="B464" s="584" t="s">
        <v>481</v>
      </c>
      <c r="C464" s="585">
        <v>137615</v>
      </c>
      <c r="D464" s="585">
        <v>137615</v>
      </c>
      <c r="E464" s="584" t="s">
        <v>872</v>
      </c>
      <c r="F464" s="584" t="s">
        <v>100</v>
      </c>
      <c r="G464" s="584" t="s">
        <v>1549</v>
      </c>
      <c r="H464" s="586" t="s">
        <v>100</v>
      </c>
    </row>
    <row r="465" spans="1:8" ht="15">
      <c r="A465" s="579" t="s">
        <v>1112</v>
      </c>
      <c r="B465" s="580" t="s">
        <v>278</v>
      </c>
      <c r="C465" s="581">
        <v>-92072.62</v>
      </c>
      <c r="D465" s="581">
        <v>-112731.24</v>
      </c>
      <c r="E465" s="580" t="s">
        <v>872</v>
      </c>
      <c r="F465" s="580" t="s">
        <v>100</v>
      </c>
      <c r="G465" s="580" t="s">
        <v>1550</v>
      </c>
      <c r="H465" s="582" t="s">
        <v>1113</v>
      </c>
    </row>
    <row r="466" spans="1:8" ht="15">
      <c r="A466" s="583" t="s">
        <v>1114</v>
      </c>
      <c r="B466" s="584" t="s">
        <v>1115</v>
      </c>
      <c r="C466" s="585">
        <v>0</v>
      </c>
      <c r="D466" s="585">
        <v>0</v>
      </c>
      <c r="E466" s="584" t="s">
        <v>872</v>
      </c>
      <c r="F466" s="584" t="s">
        <v>100</v>
      </c>
      <c r="G466" s="584" t="s">
        <v>1548</v>
      </c>
      <c r="H466" s="586" t="s">
        <v>100</v>
      </c>
    </row>
    <row r="467" spans="1:8" ht="15">
      <c r="A467" s="579" t="s">
        <v>1116</v>
      </c>
      <c r="B467" s="580" t="s">
        <v>220</v>
      </c>
      <c r="C467" s="581">
        <v>0</v>
      </c>
      <c r="D467" s="581">
        <v>0</v>
      </c>
      <c r="E467" s="580" t="s">
        <v>872</v>
      </c>
      <c r="F467" s="580" t="s">
        <v>100</v>
      </c>
      <c r="G467" s="580" t="s">
        <v>1549</v>
      </c>
      <c r="H467" s="582" t="s">
        <v>100</v>
      </c>
    </row>
    <row r="468" spans="1:8" ht="15">
      <c r="A468" s="583" t="s">
        <v>1117</v>
      </c>
      <c r="B468" s="584" t="s">
        <v>1118</v>
      </c>
      <c r="C468" s="585">
        <v>0</v>
      </c>
      <c r="D468" s="585">
        <v>0</v>
      </c>
      <c r="E468" s="584" t="s">
        <v>872</v>
      </c>
      <c r="F468" s="584" t="s">
        <v>100</v>
      </c>
      <c r="G468" s="584" t="s">
        <v>1549</v>
      </c>
      <c r="H468" s="586" t="s">
        <v>100</v>
      </c>
    </row>
    <row r="469" spans="1:8" ht="15">
      <c r="A469" s="579" t="s">
        <v>1119</v>
      </c>
      <c r="B469" s="580" t="s">
        <v>1120</v>
      </c>
      <c r="C469" s="581">
        <v>0</v>
      </c>
      <c r="D469" s="581">
        <v>0</v>
      </c>
      <c r="E469" s="580" t="s">
        <v>872</v>
      </c>
      <c r="F469" s="580" t="s">
        <v>100</v>
      </c>
      <c r="G469" s="580" t="s">
        <v>1549</v>
      </c>
      <c r="H469" s="582" t="s">
        <v>100</v>
      </c>
    </row>
    <row r="470" spans="1:8" ht="15">
      <c r="A470" s="583" t="s">
        <v>1121</v>
      </c>
      <c r="B470" s="584" t="s">
        <v>1122</v>
      </c>
      <c r="C470" s="585">
        <v>0</v>
      </c>
      <c r="D470" s="585">
        <v>0</v>
      </c>
      <c r="E470" s="584" t="s">
        <v>872</v>
      </c>
      <c r="F470" s="584" t="s">
        <v>100</v>
      </c>
      <c r="G470" s="584" t="s">
        <v>1549</v>
      </c>
      <c r="H470" s="586" t="s">
        <v>100</v>
      </c>
    </row>
    <row r="471" spans="1:8" ht="15">
      <c r="A471" s="579" t="s">
        <v>1123</v>
      </c>
      <c r="B471" s="580" t="s">
        <v>1124</v>
      </c>
      <c r="C471" s="581">
        <v>0</v>
      </c>
      <c r="D471" s="581">
        <v>0</v>
      </c>
      <c r="E471" s="580" t="s">
        <v>872</v>
      </c>
      <c r="F471" s="580" t="s">
        <v>100</v>
      </c>
      <c r="G471" s="580" t="s">
        <v>1549</v>
      </c>
      <c r="H471" s="582" t="s">
        <v>100</v>
      </c>
    </row>
    <row r="472" spans="1:8" ht="15">
      <c r="A472" s="583" t="s">
        <v>1125</v>
      </c>
      <c r="B472" s="584" t="s">
        <v>1126</v>
      </c>
      <c r="C472" s="585">
        <v>0</v>
      </c>
      <c r="D472" s="585">
        <v>0</v>
      </c>
      <c r="E472" s="584" t="s">
        <v>872</v>
      </c>
      <c r="F472" s="584" t="s">
        <v>100</v>
      </c>
      <c r="G472" s="584" t="s">
        <v>1549</v>
      </c>
      <c r="H472" s="586" t="s">
        <v>100</v>
      </c>
    </row>
    <row r="473" spans="1:8" ht="15">
      <c r="A473" s="579" t="s">
        <v>1127</v>
      </c>
      <c r="B473" s="580" t="s">
        <v>1128</v>
      </c>
      <c r="C473" s="581">
        <v>0</v>
      </c>
      <c r="D473" s="581">
        <v>0</v>
      </c>
      <c r="E473" s="580" t="s">
        <v>872</v>
      </c>
      <c r="F473" s="580" t="s">
        <v>100</v>
      </c>
      <c r="G473" s="580" t="s">
        <v>1549</v>
      </c>
      <c r="H473" s="582" t="s">
        <v>100</v>
      </c>
    </row>
    <row r="474" spans="1:8" ht="15">
      <c r="A474" s="583" t="s">
        <v>1129</v>
      </c>
      <c r="B474" s="584" t="s">
        <v>1130</v>
      </c>
      <c r="C474" s="585">
        <v>0</v>
      </c>
      <c r="D474" s="585">
        <v>0</v>
      </c>
      <c r="E474" s="584" t="s">
        <v>872</v>
      </c>
      <c r="F474" s="584" t="s">
        <v>100</v>
      </c>
      <c r="G474" s="584" t="s">
        <v>1549</v>
      </c>
      <c r="H474" s="586" t="s">
        <v>100</v>
      </c>
    </row>
    <row r="475" spans="1:8" ht="15">
      <c r="A475" s="579" t="s">
        <v>1131</v>
      </c>
      <c r="B475" s="580" t="s">
        <v>1132</v>
      </c>
      <c r="C475" s="581">
        <v>0</v>
      </c>
      <c r="D475" s="581">
        <v>0</v>
      </c>
      <c r="E475" s="580" t="s">
        <v>872</v>
      </c>
      <c r="F475" s="580" t="s">
        <v>100</v>
      </c>
      <c r="G475" s="580" t="s">
        <v>1549</v>
      </c>
      <c r="H475" s="582" t="s">
        <v>100</v>
      </c>
    </row>
    <row r="476" spans="1:8" ht="15">
      <c r="A476" s="583" t="s">
        <v>1133</v>
      </c>
      <c r="B476" s="584" t="s">
        <v>1134</v>
      </c>
      <c r="C476" s="585">
        <v>0</v>
      </c>
      <c r="D476" s="585">
        <v>0</v>
      </c>
      <c r="E476" s="584" t="s">
        <v>872</v>
      </c>
      <c r="F476" s="584" t="s">
        <v>100</v>
      </c>
      <c r="G476" s="584" t="s">
        <v>1549</v>
      </c>
      <c r="H476" s="586" t="s">
        <v>100</v>
      </c>
    </row>
    <row r="477" spans="1:8" ht="15">
      <c r="A477" s="579" t="s">
        <v>1135</v>
      </c>
      <c r="B477" s="580" t="s">
        <v>1136</v>
      </c>
      <c r="C477" s="581">
        <v>0</v>
      </c>
      <c r="D477" s="581">
        <v>0</v>
      </c>
      <c r="E477" s="580" t="s">
        <v>872</v>
      </c>
      <c r="F477" s="580" t="s">
        <v>100</v>
      </c>
      <c r="G477" s="580" t="s">
        <v>1549</v>
      </c>
      <c r="H477" s="582" t="s">
        <v>100</v>
      </c>
    </row>
    <row r="478" spans="1:8" ht="15">
      <c r="A478" s="583" t="s">
        <v>1137</v>
      </c>
      <c r="B478" s="584" t="s">
        <v>1138</v>
      </c>
      <c r="C478" s="585">
        <v>0</v>
      </c>
      <c r="D478" s="585">
        <v>0</v>
      </c>
      <c r="E478" s="584" t="s">
        <v>872</v>
      </c>
      <c r="F478" s="584" t="s">
        <v>100</v>
      </c>
      <c r="G478" s="584" t="s">
        <v>1549</v>
      </c>
      <c r="H478" s="586" t="s">
        <v>100</v>
      </c>
    </row>
    <row r="479" spans="1:8" ht="15">
      <c r="A479" s="579" t="s">
        <v>1139</v>
      </c>
      <c r="B479" s="580" t="s">
        <v>1140</v>
      </c>
      <c r="C479" s="581">
        <v>0</v>
      </c>
      <c r="D479" s="581">
        <v>0</v>
      </c>
      <c r="E479" s="580" t="s">
        <v>872</v>
      </c>
      <c r="F479" s="580" t="s">
        <v>100</v>
      </c>
      <c r="G479" s="580" t="s">
        <v>1549</v>
      </c>
      <c r="H479" s="582" t="s">
        <v>100</v>
      </c>
    </row>
    <row r="480" spans="1:8" ht="15">
      <c r="A480" s="583" t="s">
        <v>1141</v>
      </c>
      <c r="B480" s="584" t="s">
        <v>1142</v>
      </c>
      <c r="C480" s="585">
        <v>0</v>
      </c>
      <c r="D480" s="585">
        <v>0</v>
      </c>
      <c r="E480" s="584" t="s">
        <v>872</v>
      </c>
      <c r="F480" s="584" t="s">
        <v>100</v>
      </c>
      <c r="G480" s="584" t="s">
        <v>1549</v>
      </c>
      <c r="H480" s="586" t="s">
        <v>100</v>
      </c>
    </row>
    <row r="481" spans="1:8" ht="15">
      <c r="A481" s="579" t="s">
        <v>1143</v>
      </c>
      <c r="B481" s="580" t="s">
        <v>1144</v>
      </c>
      <c r="C481" s="581">
        <v>0</v>
      </c>
      <c r="D481" s="581">
        <v>0</v>
      </c>
      <c r="E481" s="580" t="s">
        <v>872</v>
      </c>
      <c r="F481" s="580" t="s">
        <v>100</v>
      </c>
      <c r="G481" s="580" t="s">
        <v>1549</v>
      </c>
      <c r="H481" s="582" t="s">
        <v>100</v>
      </c>
    </row>
    <row r="482" spans="1:8" ht="15">
      <c r="A482" s="583" t="s">
        <v>1145</v>
      </c>
      <c r="B482" s="584" t="s">
        <v>1146</v>
      </c>
      <c r="C482" s="585">
        <v>0</v>
      </c>
      <c r="D482" s="585">
        <v>0</v>
      </c>
      <c r="E482" s="584" t="s">
        <v>872</v>
      </c>
      <c r="F482" s="584" t="s">
        <v>100</v>
      </c>
      <c r="G482" s="584" t="s">
        <v>1549</v>
      </c>
      <c r="H482" s="586" t="s">
        <v>100</v>
      </c>
    </row>
    <row r="483" spans="1:8" ht="15">
      <c r="A483" s="579" t="s">
        <v>1147</v>
      </c>
      <c r="B483" s="580" t="s">
        <v>1148</v>
      </c>
      <c r="C483" s="581">
        <v>0</v>
      </c>
      <c r="D483" s="581">
        <v>0</v>
      </c>
      <c r="E483" s="580" t="s">
        <v>872</v>
      </c>
      <c r="F483" s="580" t="s">
        <v>100</v>
      </c>
      <c r="G483" s="580" t="s">
        <v>1549</v>
      </c>
      <c r="H483" s="582" t="s">
        <v>100</v>
      </c>
    </row>
    <row r="484" spans="1:8" ht="15">
      <c r="A484" s="583" t="s">
        <v>1149</v>
      </c>
      <c r="B484" s="584" t="s">
        <v>1150</v>
      </c>
      <c r="C484" s="585">
        <v>0</v>
      </c>
      <c r="D484" s="585">
        <v>0</v>
      </c>
      <c r="E484" s="584" t="s">
        <v>872</v>
      </c>
      <c r="F484" s="584" t="s">
        <v>100</v>
      </c>
      <c r="G484" s="584" t="s">
        <v>1549</v>
      </c>
      <c r="H484" s="586" t="s">
        <v>100</v>
      </c>
    </row>
    <row r="485" spans="1:8" ht="15">
      <c r="A485" s="579" t="s">
        <v>1151</v>
      </c>
      <c r="B485" s="580" t="s">
        <v>1152</v>
      </c>
      <c r="C485" s="581">
        <v>0</v>
      </c>
      <c r="D485" s="581">
        <v>0</v>
      </c>
      <c r="E485" s="580" t="s">
        <v>872</v>
      </c>
      <c r="F485" s="580" t="s">
        <v>100</v>
      </c>
      <c r="G485" s="580" t="s">
        <v>1550</v>
      </c>
      <c r="H485" s="582" t="s">
        <v>1153</v>
      </c>
    </row>
    <row r="486" spans="1:8" ht="15">
      <c r="A486" s="583" t="s">
        <v>1154</v>
      </c>
      <c r="B486" s="584" t="s">
        <v>1155</v>
      </c>
      <c r="C486" s="585">
        <v>-92072.62</v>
      </c>
      <c r="D486" s="585">
        <v>-112731.24</v>
      </c>
      <c r="E486" s="584" t="s">
        <v>872</v>
      </c>
      <c r="F486" s="584" t="s">
        <v>100</v>
      </c>
      <c r="G486" s="584" t="s">
        <v>1550</v>
      </c>
      <c r="H486" s="586" t="s">
        <v>1156</v>
      </c>
    </row>
    <row r="487" spans="1:8" ht="15">
      <c r="A487" s="579" t="s">
        <v>1157</v>
      </c>
      <c r="B487" s="580" t="s">
        <v>1158</v>
      </c>
      <c r="C487" s="581">
        <v>-92072.62</v>
      </c>
      <c r="D487" s="581">
        <v>-112731.24</v>
      </c>
      <c r="E487" s="580" t="s">
        <v>872</v>
      </c>
      <c r="F487" s="580" t="s">
        <v>100</v>
      </c>
      <c r="G487" s="580" t="s">
        <v>1550</v>
      </c>
      <c r="H487" s="582" t="s">
        <v>1159</v>
      </c>
    </row>
    <row r="488" spans="1:8" ht="15">
      <c r="A488" s="583" t="s">
        <v>1160</v>
      </c>
      <c r="B488" s="584" t="s">
        <v>1161</v>
      </c>
      <c r="C488" s="585">
        <v>0</v>
      </c>
      <c r="D488" s="585">
        <v>0</v>
      </c>
      <c r="E488" s="584" t="s">
        <v>872</v>
      </c>
      <c r="F488" s="584" t="s">
        <v>100</v>
      </c>
      <c r="G488" s="584" t="s">
        <v>1548</v>
      </c>
      <c r="H488" s="586" t="s">
        <v>100</v>
      </c>
    </row>
    <row r="489" spans="1:8" ht="15">
      <c r="A489" s="579" t="s">
        <v>1162</v>
      </c>
      <c r="B489" s="580" t="s">
        <v>1163</v>
      </c>
      <c r="C489" s="581">
        <v>0</v>
      </c>
      <c r="D489" s="581">
        <v>-25480</v>
      </c>
      <c r="E489" s="580" t="s">
        <v>872</v>
      </c>
      <c r="F489" s="580" t="s">
        <v>100</v>
      </c>
      <c r="G489" s="580" t="s">
        <v>1549</v>
      </c>
      <c r="H489" s="582" t="s">
        <v>100</v>
      </c>
    </row>
    <row r="490" spans="1:8" ht="15">
      <c r="A490" s="583" t="s">
        <v>1164</v>
      </c>
      <c r="B490" s="584" t="s">
        <v>1165</v>
      </c>
      <c r="C490" s="585">
        <v>-61050</v>
      </c>
      <c r="D490" s="585">
        <v>-61050</v>
      </c>
      <c r="E490" s="584" t="s">
        <v>872</v>
      </c>
      <c r="F490" s="584" t="s">
        <v>100</v>
      </c>
      <c r="G490" s="584" t="s">
        <v>1549</v>
      </c>
      <c r="H490" s="586" t="s">
        <v>100</v>
      </c>
    </row>
    <row r="491" spans="1:8" ht="15">
      <c r="A491" s="579" t="s">
        <v>1166</v>
      </c>
      <c r="B491" s="580" t="s">
        <v>1167</v>
      </c>
      <c r="C491" s="581">
        <v>-45713</v>
      </c>
      <c r="D491" s="581">
        <v>-45713</v>
      </c>
      <c r="E491" s="580" t="s">
        <v>872</v>
      </c>
      <c r="F491" s="580" t="s">
        <v>100</v>
      </c>
      <c r="G491" s="580" t="s">
        <v>1549</v>
      </c>
      <c r="H491" s="582" t="s">
        <v>100</v>
      </c>
    </row>
    <row r="492" spans="1:8" ht="15">
      <c r="A492" s="583" t="s">
        <v>1168</v>
      </c>
      <c r="B492" s="584" t="s">
        <v>1169</v>
      </c>
      <c r="C492" s="585">
        <v>-42300</v>
      </c>
      <c r="D492" s="585">
        <v>-42300</v>
      </c>
      <c r="E492" s="584" t="s">
        <v>872</v>
      </c>
      <c r="F492" s="584" t="s">
        <v>100</v>
      </c>
      <c r="G492" s="584" t="s">
        <v>1549</v>
      </c>
      <c r="H492" s="586" t="s">
        <v>100</v>
      </c>
    </row>
    <row r="493" spans="1:8" ht="15">
      <c r="A493" s="579" t="s">
        <v>1170</v>
      </c>
      <c r="B493" s="580" t="s">
        <v>1171</v>
      </c>
      <c r="C493" s="581">
        <v>0</v>
      </c>
      <c r="D493" s="581">
        <v>0</v>
      </c>
      <c r="E493" s="580" t="s">
        <v>872</v>
      </c>
      <c r="F493" s="580" t="s">
        <v>100</v>
      </c>
      <c r="G493" s="580" t="s">
        <v>1549</v>
      </c>
      <c r="H493" s="582" t="s">
        <v>100</v>
      </c>
    </row>
    <row r="494" spans="1:8" ht="15">
      <c r="A494" s="583" t="s">
        <v>1172</v>
      </c>
      <c r="B494" s="584" t="s">
        <v>1173</v>
      </c>
      <c r="C494" s="585">
        <v>-16420</v>
      </c>
      <c r="D494" s="585">
        <v>-16420</v>
      </c>
      <c r="E494" s="584" t="s">
        <v>872</v>
      </c>
      <c r="F494" s="584" t="s">
        <v>100</v>
      </c>
      <c r="G494" s="584" t="s">
        <v>1549</v>
      </c>
      <c r="H494" s="586" t="s">
        <v>100</v>
      </c>
    </row>
    <row r="495" spans="1:8" ht="15">
      <c r="A495" s="579" t="s">
        <v>1174</v>
      </c>
      <c r="B495" s="580" t="s">
        <v>1175</v>
      </c>
      <c r="C495" s="581">
        <v>-18850</v>
      </c>
      <c r="D495" s="581">
        <v>-18850</v>
      </c>
      <c r="E495" s="580" t="s">
        <v>872</v>
      </c>
      <c r="F495" s="580" t="s">
        <v>100</v>
      </c>
      <c r="G495" s="580" t="s">
        <v>1549</v>
      </c>
      <c r="H495" s="582" t="s">
        <v>100</v>
      </c>
    </row>
    <row r="496" spans="1:8" ht="15">
      <c r="A496" s="583" t="s">
        <v>1176</v>
      </c>
      <c r="B496" s="584" t="s">
        <v>1177</v>
      </c>
      <c r="C496" s="585">
        <v>-40830</v>
      </c>
      <c r="D496" s="585">
        <v>-40830</v>
      </c>
      <c r="E496" s="584" t="s">
        <v>872</v>
      </c>
      <c r="F496" s="584" t="s">
        <v>100</v>
      </c>
      <c r="G496" s="584" t="s">
        <v>1549</v>
      </c>
      <c r="H496" s="586" t="s">
        <v>100</v>
      </c>
    </row>
    <row r="497" spans="1:8" ht="15">
      <c r="A497" s="579" t="s">
        <v>1178</v>
      </c>
      <c r="B497" s="580" t="s">
        <v>1179</v>
      </c>
      <c r="C497" s="581">
        <v>0</v>
      </c>
      <c r="D497" s="581">
        <v>0</v>
      </c>
      <c r="E497" s="580" t="s">
        <v>872</v>
      </c>
      <c r="F497" s="580" t="s">
        <v>100</v>
      </c>
      <c r="G497" s="580" t="s">
        <v>1549</v>
      </c>
      <c r="H497" s="582" t="s">
        <v>100</v>
      </c>
    </row>
    <row r="498" spans="1:8" ht="15">
      <c r="A498" s="583" t="s">
        <v>1180</v>
      </c>
      <c r="B498" s="584" t="s">
        <v>1181</v>
      </c>
      <c r="C498" s="585">
        <v>32070</v>
      </c>
      <c r="D498" s="585">
        <v>44830</v>
      </c>
      <c r="E498" s="584" t="s">
        <v>872</v>
      </c>
      <c r="F498" s="584" t="s">
        <v>100</v>
      </c>
      <c r="G498" s="584" t="s">
        <v>1549</v>
      </c>
      <c r="H498" s="586" t="s">
        <v>100</v>
      </c>
    </row>
    <row r="499" spans="1:8" ht="15">
      <c r="A499" s="579" t="s">
        <v>1182</v>
      </c>
      <c r="B499" s="580" t="s">
        <v>1183</v>
      </c>
      <c r="C499" s="581">
        <v>-98818.89</v>
      </c>
      <c r="D499" s="581">
        <v>-98818.89</v>
      </c>
      <c r="E499" s="580" t="s">
        <v>872</v>
      </c>
      <c r="F499" s="580" t="s">
        <v>100</v>
      </c>
      <c r="G499" s="580" t="s">
        <v>1549</v>
      </c>
      <c r="H499" s="582" t="s">
        <v>100</v>
      </c>
    </row>
    <row r="500" spans="1:8" ht="15">
      <c r="A500" s="583" t="s">
        <v>1184</v>
      </c>
      <c r="B500" s="584" t="s">
        <v>1185</v>
      </c>
      <c r="C500" s="585">
        <v>-11268.44</v>
      </c>
      <c r="D500" s="585">
        <v>-30712.240000000002</v>
      </c>
      <c r="E500" s="584" t="s">
        <v>872</v>
      </c>
      <c r="F500" s="584" t="s">
        <v>100</v>
      </c>
      <c r="G500" s="584" t="s">
        <v>1549</v>
      </c>
      <c r="H500" s="586" t="s">
        <v>100</v>
      </c>
    </row>
    <row r="501" spans="1:8" ht="15">
      <c r="A501" s="579" t="s">
        <v>1186</v>
      </c>
      <c r="B501" s="580" t="s">
        <v>1618</v>
      </c>
      <c r="C501" s="581">
        <v>6632.4</v>
      </c>
      <c r="D501" s="581">
        <v>6632.4</v>
      </c>
      <c r="E501" s="580" t="s">
        <v>872</v>
      </c>
      <c r="F501" s="580" t="s">
        <v>100</v>
      </c>
      <c r="G501" s="580" t="s">
        <v>1549</v>
      </c>
      <c r="H501" s="582" t="s">
        <v>100</v>
      </c>
    </row>
    <row r="502" spans="1:8" ht="15">
      <c r="A502" s="583" t="s">
        <v>1188</v>
      </c>
      <c r="B502" s="584" t="s">
        <v>1189</v>
      </c>
      <c r="C502" s="585">
        <v>0</v>
      </c>
      <c r="D502" s="585">
        <v>0</v>
      </c>
      <c r="E502" s="584" t="s">
        <v>872</v>
      </c>
      <c r="F502" s="584" t="s">
        <v>100</v>
      </c>
      <c r="G502" s="584" t="s">
        <v>1549</v>
      </c>
      <c r="H502" s="586" t="s">
        <v>100</v>
      </c>
    </row>
    <row r="503" spans="1:8" ht="15">
      <c r="A503" s="579" t="s">
        <v>1190</v>
      </c>
      <c r="B503" s="580" t="s">
        <v>1191</v>
      </c>
      <c r="C503" s="581">
        <v>0</v>
      </c>
      <c r="D503" s="581">
        <v>0</v>
      </c>
      <c r="E503" s="580" t="s">
        <v>872</v>
      </c>
      <c r="F503" s="580" t="s">
        <v>100</v>
      </c>
      <c r="G503" s="580" t="s">
        <v>1549</v>
      </c>
      <c r="H503" s="582" t="s">
        <v>100</v>
      </c>
    </row>
    <row r="504" spans="1:8" ht="15">
      <c r="A504" s="583" t="s">
        <v>1192</v>
      </c>
      <c r="B504" s="584" t="s">
        <v>1193</v>
      </c>
      <c r="C504" s="585">
        <v>0</v>
      </c>
      <c r="D504" s="585">
        <v>0</v>
      </c>
      <c r="E504" s="584" t="s">
        <v>872</v>
      </c>
      <c r="F504" s="584" t="s">
        <v>100</v>
      </c>
      <c r="G504" s="584" t="s">
        <v>1549</v>
      </c>
      <c r="H504" s="586" t="s">
        <v>100</v>
      </c>
    </row>
    <row r="505" spans="1:8" ht="15">
      <c r="A505" s="579" t="s">
        <v>1194</v>
      </c>
      <c r="B505" s="580" t="s">
        <v>1195</v>
      </c>
      <c r="C505" s="581">
        <v>-1127.18</v>
      </c>
      <c r="D505" s="581">
        <v>-1127.18</v>
      </c>
      <c r="E505" s="580" t="s">
        <v>872</v>
      </c>
      <c r="F505" s="580" t="s">
        <v>100</v>
      </c>
      <c r="G505" s="580" t="s">
        <v>1549</v>
      </c>
      <c r="H505" s="582" t="s">
        <v>100</v>
      </c>
    </row>
    <row r="506" spans="1:8" ht="15">
      <c r="A506" s="583" t="s">
        <v>1196</v>
      </c>
      <c r="B506" s="584" t="s">
        <v>1197</v>
      </c>
      <c r="C506" s="585">
        <v>0</v>
      </c>
      <c r="D506" s="585">
        <v>0</v>
      </c>
      <c r="E506" s="584" t="s">
        <v>872</v>
      </c>
      <c r="F506" s="584" t="s">
        <v>100</v>
      </c>
      <c r="G506" s="584" t="s">
        <v>1549</v>
      </c>
      <c r="H506" s="586" t="s">
        <v>100</v>
      </c>
    </row>
    <row r="507" spans="1:8" ht="15">
      <c r="A507" s="579" t="s">
        <v>1198</v>
      </c>
      <c r="B507" s="580" t="s">
        <v>1199</v>
      </c>
      <c r="C507" s="581">
        <v>-78145.119999999995</v>
      </c>
      <c r="D507" s="581">
        <v>-78145.119999999995</v>
      </c>
      <c r="E507" s="580" t="s">
        <v>872</v>
      </c>
      <c r="F507" s="580" t="s">
        <v>100</v>
      </c>
      <c r="G507" s="580" t="s">
        <v>1549</v>
      </c>
      <c r="H507" s="582" t="s">
        <v>100</v>
      </c>
    </row>
    <row r="508" spans="1:8" ht="15">
      <c r="A508" s="583" t="s">
        <v>1200</v>
      </c>
      <c r="B508" s="584" t="s">
        <v>1201</v>
      </c>
      <c r="C508" s="585">
        <v>-375820.23</v>
      </c>
      <c r="D508" s="585">
        <v>-407984.03</v>
      </c>
      <c r="E508" s="584" t="s">
        <v>872</v>
      </c>
      <c r="F508" s="584" t="s">
        <v>100</v>
      </c>
      <c r="G508" s="584" t="s">
        <v>1550</v>
      </c>
      <c r="H508" s="586" t="s">
        <v>1202</v>
      </c>
    </row>
    <row r="509" spans="1:8" ht="15">
      <c r="A509" s="579" t="s">
        <v>1203</v>
      </c>
      <c r="B509" s="580" t="s">
        <v>1204</v>
      </c>
      <c r="C509" s="581">
        <v>0</v>
      </c>
      <c r="D509" s="581">
        <v>0</v>
      </c>
      <c r="E509" s="580" t="s">
        <v>872</v>
      </c>
      <c r="F509" s="580" t="s">
        <v>100</v>
      </c>
      <c r="G509" s="580" t="s">
        <v>1548</v>
      </c>
      <c r="H509" s="582" t="s">
        <v>100</v>
      </c>
    </row>
    <row r="510" spans="1:8" ht="15">
      <c r="A510" s="583" t="s">
        <v>1205</v>
      </c>
      <c r="B510" s="584" t="s">
        <v>1206</v>
      </c>
      <c r="C510" s="585">
        <v>-1228145.32</v>
      </c>
      <c r="D510" s="585">
        <v>-118118.12</v>
      </c>
      <c r="E510" s="584" t="s">
        <v>872</v>
      </c>
      <c r="F510" s="584" t="s">
        <v>100</v>
      </c>
      <c r="G510" s="584" t="s">
        <v>1549</v>
      </c>
      <c r="H510" s="586" t="s">
        <v>100</v>
      </c>
    </row>
    <row r="511" spans="1:8" ht="15">
      <c r="A511" s="579" t="s">
        <v>1207</v>
      </c>
      <c r="B511" s="580" t="s">
        <v>1208</v>
      </c>
      <c r="C511" s="581">
        <v>-1228145.32</v>
      </c>
      <c r="D511" s="581">
        <v>-118118.12</v>
      </c>
      <c r="E511" s="580" t="s">
        <v>872</v>
      </c>
      <c r="F511" s="580" t="s">
        <v>100</v>
      </c>
      <c r="G511" s="580" t="s">
        <v>1550</v>
      </c>
      <c r="H511" s="582" t="s">
        <v>1209</v>
      </c>
    </row>
    <row r="512" spans="1:8" ht="15">
      <c r="A512" s="583" t="s">
        <v>1210</v>
      </c>
      <c r="B512" s="584" t="s">
        <v>1211</v>
      </c>
      <c r="C512" s="585">
        <v>0</v>
      </c>
      <c r="D512" s="585">
        <v>0</v>
      </c>
      <c r="E512" s="584" t="s">
        <v>872</v>
      </c>
      <c r="F512" s="584" t="s">
        <v>100</v>
      </c>
      <c r="G512" s="584" t="s">
        <v>1548</v>
      </c>
      <c r="H512" s="586" t="s">
        <v>100</v>
      </c>
    </row>
    <row r="513" spans="1:8" ht="15">
      <c r="A513" s="579" t="s">
        <v>1212</v>
      </c>
      <c r="B513" s="580" t="s">
        <v>1622</v>
      </c>
      <c r="C513" s="581">
        <v>0</v>
      </c>
      <c r="D513" s="581">
        <v>0</v>
      </c>
      <c r="E513" s="580" t="s">
        <v>872</v>
      </c>
      <c r="F513" s="580" t="s">
        <v>100</v>
      </c>
      <c r="G513" s="580" t="s">
        <v>1549</v>
      </c>
      <c r="H513" s="582" t="s">
        <v>100</v>
      </c>
    </row>
    <row r="514" spans="1:8" ht="15">
      <c r="A514" s="583" t="s">
        <v>1214</v>
      </c>
      <c r="B514" s="584" t="s">
        <v>1623</v>
      </c>
      <c r="C514" s="585">
        <v>0</v>
      </c>
      <c r="D514" s="585">
        <v>0</v>
      </c>
      <c r="E514" s="584" t="s">
        <v>872</v>
      </c>
      <c r="F514" s="584" t="s">
        <v>100</v>
      </c>
      <c r="G514" s="584" t="s">
        <v>1549</v>
      </c>
      <c r="H514" s="586" t="s">
        <v>100</v>
      </c>
    </row>
    <row r="515" spans="1:8" ht="15">
      <c r="A515" s="579" t="s">
        <v>1216</v>
      </c>
      <c r="B515" s="580" t="s">
        <v>1217</v>
      </c>
      <c r="C515" s="581">
        <v>57305.279999999999</v>
      </c>
      <c r="D515" s="581">
        <v>86450.25</v>
      </c>
      <c r="E515" s="580" t="s">
        <v>872</v>
      </c>
      <c r="F515" s="580" t="s">
        <v>100</v>
      </c>
      <c r="G515" s="580" t="s">
        <v>1549</v>
      </c>
      <c r="H515" s="582" t="s">
        <v>100</v>
      </c>
    </row>
    <row r="516" spans="1:8" ht="15">
      <c r="A516" s="583" t="s">
        <v>1218</v>
      </c>
      <c r="B516" s="584" t="s">
        <v>1219</v>
      </c>
      <c r="C516" s="585">
        <v>-25844.97</v>
      </c>
      <c r="D516" s="585">
        <v>-7857.63</v>
      </c>
      <c r="E516" s="584" t="s">
        <v>872</v>
      </c>
      <c r="F516" s="584" t="s">
        <v>100</v>
      </c>
      <c r="G516" s="584" t="s">
        <v>1549</v>
      </c>
      <c r="H516" s="586" t="s">
        <v>100</v>
      </c>
    </row>
    <row r="517" spans="1:8" ht="15">
      <c r="A517" s="579" t="s">
        <v>1220</v>
      </c>
      <c r="B517" s="580" t="s">
        <v>1221</v>
      </c>
      <c r="C517" s="581">
        <v>-5512.08</v>
      </c>
      <c r="D517" s="581">
        <v>-3874.27</v>
      </c>
      <c r="E517" s="580" t="s">
        <v>872</v>
      </c>
      <c r="F517" s="580" t="s">
        <v>100</v>
      </c>
      <c r="G517" s="580" t="s">
        <v>1549</v>
      </c>
      <c r="H517" s="582" t="s">
        <v>100</v>
      </c>
    </row>
    <row r="518" spans="1:8" ht="15">
      <c r="A518" s="583" t="s">
        <v>1222</v>
      </c>
      <c r="B518" s="584" t="s">
        <v>1223</v>
      </c>
      <c r="C518" s="585">
        <v>-191774.1</v>
      </c>
      <c r="D518" s="585">
        <v>-196074.57</v>
      </c>
      <c r="E518" s="584" t="s">
        <v>872</v>
      </c>
      <c r="F518" s="584" t="s">
        <v>100</v>
      </c>
      <c r="G518" s="584" t="s">
        <v>1549</v>
      </c>
      <c r="H518" s="586" t="s">
        <v>100</v>
      </c>
    </row>
    <row r="519" spans="1:8" ht="15">
      <c r="A519" s="579" t="s">
        <v>1224</v>
      </c>
      <c r="B519" s="580" t="s">
        <v>1624</v>
      </c>
      <c r="C519" s="581">
        <v>0</v>
      </c>
      <c r="D519" s="581">
        <v>0</v>
      </c>
      <c r="E519" s="580" t="s">
        <v>872</v>
      </c>
      <c r="F519" s="580" t="s">
        <v>100</v>
      </c>
      <c r="G519" s="580" t="s">
        <v>1549</v>
      </c>
      <c r="H519" s="582" t="s">
        <v>100</v>
      </c>
    </row>
    <row r="520" spans="1:8" ht="15">
      <c r="A520" s="583" t="s">
        <v>1226</v>
      </c>
      <c r="B520" s="584" t="s">
        <v>1225</v>
      </c>
      <c r="C520" s="585">
        <v>-5204</v>
      </c>
      <c r="D520" s="585">
        <v>-5204</v>
      </c>
      <c r="E520" s="584" t="s">
        <v>872</v>
      </c>
      <c r="F520" s="584" t="s">
        <v>100</v>
      </c>
      <c r="G520" s="584" t="s">
        <v>1549</v>
      </c>
      <c r="H520" s="586" t="s">
        <v>100</v>
      </c>
    </row>
    <row r="521" spans="1:8" ht="15">
      <c r="A521" s="579" t="s">
        <v>1228</v>
      </c>
      <c r="B521" s="580" t="s">
        <v>1229</v>
      </c>
      <c r="C521" s="581">
        <v>-171029.87</v>
      </c>
      <c r="D521" s="581">
        <v>-126560.22</v>
      </c>
      <c r="E521" s="580" t="s">
        <v>872</v>
      </c>
      <c r="F521" s="580" t="s">
        <v>100</v>
      </c>
      <c r="G521" s="580" t="s">
        <v>1550</v>
      </c>
      <c r="H521" s="582" t="s">
        <v>1230</v>
      </c>
    </row>
    <row r="522" spans="1:8" ht="15">
      <c r="A522" s="583" t="s">
        <v>1231</v>
      </c>
      <c r="B522" s="584" t="s">
        <v>1232</v>
      </c>
      <c r="C522" s="585">
        <v>0</v>
      </c>
      <c r="D522" s="585">
        <v>0</v>
      </c>
      <c r="E522" s="584" t="s">
        <v>872</v>
      </c>
      <c r="F522" s="584" t="s">
        <v>100</v>
      </c>
      <c r="G522" s="584" t="s">
        <v>1548</v>
      </c>
      <c r="H522" s="586" t="s">
        <v>100</v>
      </c>
    </row>
    <row r="523" spans="1:8" ht="15">
      <c r="A523" s="579" t="s">
        <v>1233</v>
      </c>
      <c r="B523" s="580" t="s">
        <v>1234</v>
      </c>
      <c r="C523" s="581">
        <v>-3223.65</v>
      </c>
      <c r="D523" s="581">
        <v>-3223.65</v>
      </c>
      <c r="E523" s="580" t="s">
        <v>872</v>
      </c>
      <c r="F523" s="580" t="s">
        <v>100</v>
      </c>
      <c r="G523" s="580" t="s">
        <v>1549</v>
      </c>
      <c r="H523" s="582" t="s">
        <v>100</v>
      </c>
    </row>
    <row r="524" spans="1:8" ht="15">
      <c r="A524" s="583" t="s">
        <v>1235</v>
      </c>
      <c r="B524" s="584" t="s">
        <v>1236</v>
      </c>
      <c r="C524" s="585">
        <v>0</v>
      </c>
      <c r="D524" s="585">
        <v>0</v>
      </c>
      <c r="E524" s="584" t="s">
        <v>872</v>
      </c>
      <c r="F524" s="584" t="s">
        <v>100</v>
      </c>
      <c r="G524" s="584" t="s">
        <v>1549</v>
      </c>
      <c r="H524" s="586" t="s">
        <v>100</v>
      </c>
    </row>
    <row r="525" spans="1:8" ht="15">
      <c r="A525" s="579" t="s">
        <v>1237</v>
      </c>
      <c r="B525" s="580" t="s">
        <v>1238</v>
      </c>
      <c r="C525" s="581">
        <v>0</v>
      </c>
      <c r="D525" s="581">
        <v>0</v>
      </c>
      <c r="E525" s="580" t="s">
        <v>872</v>
      </c>
      <c r="F525" s="580" t="s">
        <v>100</v>
      </c>
      <c r="G525" s="580" t="s">
        <v>1549</v>
      </c>
      <c r="H525" s="582" t="s">
        <v>100</v>
      </c>
    </row>
    <row r="526" spans="1:8" ht="15">
      <c r="A526" s="583" t="s">
        <v>1239</v>
      </c>
      <c r="B526" s="584" t="s">
        <v>1240</v>
      </c>
      <c r="C526" s="585">
        <v>0</v>
      </c>
      <c r="D526" s="585">
        <v>0</v>
      </c>
      <c r="E526" s="584" t="s">
        <v>872</v>
      </c>
      <c r="F526" s="584" t="s">
        <v>100</v>
      </c>
      <c r="G526" s="584" t="s">
        <v>1549</v>
      </c>
      <c r="H526" s="586" t="s">
        <v>100</v>
      </c>
    </row>
    <row r="527" spans="1:8" ht="15">
      <c r="A527" s="579" t="s">
        <v>1241</v>
      </c>
      <c r="B527" s="580" t="s">
        <v>1242</v>
      </c>
      <c r="C527" s="581">
        <v>0</v>
      </c>
      <c r="D527" s="581">
        <v>0</v>
      </c>
      <c r="E527" s="580" t="s">
        <v>872</v>
      </c>
      <c r="F527" s="580" t="s">
        <v>100</v>
      </c>
      <c r="G527" s="580" t="s">
        <v>1549</v>
      </c>
      <c r="H527" s="582" t="s">
        <v>100</v>
      </c>
    </row>
    <row r="528" spans="1:8" ht="15">
      <c r="A528" s="583" t="s">
        <v>1243</v>
      </c>
      <c r="B528" s="584" t="s">
        <v>1244</v>
      </c>
      <c r="C528" s="585">
        <v>0</v>
      </c>
      <c r="D528" s="585">
        <v>0</v>
      </c>
      <c r="E528" s="584" t="s">
        <v>872</v>
      </c>
      <c r="F528" s="584" t="s">
        <v>100</v>
      </c>
      <c r="G528" s="584" t="s">
        <v>1549</v>
      </c>
      <c r="H528" s="586" t="s">
        <v>100</v>
      </c>
    </row>
    <row r="529" spans="1:8" ht="15">
      <c r="A529" s="579" t="s">
        <v>1245</v>
      </c>
      <c r="B529" s="580" t="s">
        <v>1246</v>
      </c>
      <c r="C529" s="581">
        <v>-30000</v>
      </c>
      <c r="D529" s="581">
        <v>-30000</v>
      </c>
      <c r="E529" s="580" t="s">
        <v>872</v>
      </c>
      <c r="F529" s="580" t="s">
        <v>100</v>
      </c>
      <c r="G529" s="580" t="s">
        <v>1549</v>
      </c>
      <c r="H529" s="582" t="s">
        <v>100</v>
      </c>
    </row>
    <row r="530" spans="1:8" ht="15">
      <c r="A530" s="583" t="s">
        <v>1247</v>
      </c>
      <c r="B530" s="584" t="s">
        <v>1248</v>
      </c>
      <c r="C530" s="585">
        <v>0</v>
      </c>
      <c r="D530" s="585">
        <v>0</v>
      </c>
      <c r="E530" s="584" t="s">
        <v>872</v>
      </c>
      <c r="F530" s="584" t="s">
        <v>100</v>
      </c>
      <c r="G530" s="584" t="s">
        <v>1549</v>
      </c>
      <c r="H530" s="586" t="s">
        <v>100</v>
      </c>
    </row>
    <row r="531" spans="1:8" ht="15">
      <c r="A531" s="579" t="s">
        <v>1249</v>
      </c>
      <c r="B531" s="580" t="s">
        <v>1250</v>
      </c>
      <c r="C531" s="581">
        <v>-33223.65</v>
      </c>
      <c r="D531" s="581">
        <v>-33223.65</v>
      </c>
      <c r="E531" s="580" t="s">
        <v>872</v>
      </c>
      <c r="F531" s="580" t="s">
        <v>100</v>
      </c>
      <c r="G531" s="580" t="s">
        <v>1550</v>
      </c>
      <c r="H531" s="582" t="s">
        <v>1251</v>
      </c>
    </row>
    <row r="532" spans="1:8" ht="15">
      <c r="A532" s="583" t="s">
        <v>1252</v>
      </c>
      <c r="B532" s="584" t="s">
        <v>1253</v>
      </c>
      <c r="C532" s="585">
        <v>0</v>
      </c>
      <c r="D532" s="585">
        <v>0</v>
      </c>
      <c r="E532" s="584" t="s">
        <v>872</v>
      </c>
      <c r="F532" s="584" t="s">
        <v>100</v>
      </c>
      <c r="G532" s="584" t="s">
        <v>1548</v>
      </c>
      <c r="H532" s="586" t="s">
        <v>100</v>
      </c>
    </row>
    <row r="533" spans="1:8" ht="15">
      <c r="A533" s="579" t="s">
        <v>1254</v>
      </c>
      <c r="B533" s="580" t="s">
        <v>155</v>
      </c>
      <c r="C533" s="581">
        <v>0</v>
      </c>
      <c r="D533" s="581">
        <v>0</v>
      </c>
      <c r="E533" s="580" t="s">
        <v>872</v>
      </c>
      <c r="F533" s="580" t="s">
        <v>100</v>
      </c>
      <c r="G533" s="580" t="s">
        <v>1548</v>
      </c>
      <c r="H533" s="582" t="s">
        <v>100</v>
      </c>
    </row>
    <row r="534" spans="1:8" ht="15">
      <c r="A534" s="583" t="s">
        <v>1255</v>
      </c>
      <c r="B534" s="584" t="s">
        <v>1256</v>
      </c>
      <c r="C534" s="585">
        <v>0</v>
      </c>
      <c r="D534" s="585">
        <v>0</v>
      </c>
      <c r="E534" s="584" t="s">
        <v>872</v>
      </c>
      <c r="F534" s="584" t="s">
        <v>100</v>
      </c>
      <c r="G534" s="584" t="s">
        <v>1548</v>
      </c>
      <c r="H534" s="586" t="s">
        <v>100</v>
      </c>
    </row>
    <row r="535" spans="1:8" ht="15">
      <c r="A535" s="579" t="s">
        <v>1257</v>
      </c>
      <c r="B535" s="580" t="s">
        <v>1258</v>
      </c>
      <c r="C535" s="581">
        <v>-4897004.3499999996</v>
      </c>
      <c r="D535" s="581">
        <v>-4897004.3499999996</v>
      </c>
      <c r="E535" s="580" t="s">
        <v>872</v>
      </c>
      <c r="F535" s="580" t="s">
        <v>100</v>
      </c>
      <c r="G535" s="580" t="s">
        <v>1549</v>
      </c>
      <c r="H535" s="582" t="s">
        <v>100</v>
      </c>
    </row>
    <row r="536" spans="1:8" ht="15">
      <c r="A536" s="583" t="s">
        <v>1259</v>
      </c>
      <c r="B536" s="584" t="s">
        <v>1260</v>
      </c>
      <c r="C536" s="585">
        <v>-13372660</v>
      </c>
      <c r="D536" s="585">
        <v>-13374030</v>
      </c>
      <c r="E536" s="584" t="s">
        <v>872</v>
      </c>
      <c r="F536" s="584" t="s">
        <v>100</v>
      </c>
      <c r="G536" s="584" t="s">
        <v>1549</v>
      </c>
      <c r="H536" s="586" t="s">
        <v>100</v>
      </c>
    </row>
    <row r="537" spans="1:8" ht="15">
      <c r="A537" s="579" t="s">
        <v>1261</v>
      </c>
      <c r="B537" s="580" t="s">
        <v>1262</v>
      </c>
      <c r="C537" s="581">
        <v>-41536.839999999997</v>
      </c>
      <c r="D537" s="581">
        <v>-41536.839999999997</v>
      </c>
      <c r="E537" s="580" t="s">
        <v>872</v>
      </c>
      <c r="F537" s="580" t="s">
        <v>100</v>
      </c>
      <c r="G537" s="580" t="s">
        <v>1549</v>
      </c>
      <c r="H537" s="582" t="s">
        <v>100</v>
      </c>
    </row>
    <row r="538" spans="1:8" ht="15">
      <c r="A538" s="583" t="s">
        <v>1263</v>
      </c>
      <c r="B538" s="584" t="s">
        <v>1264</v>
      </c>
      <c r="C538" s="585">
        <v>-594042.56999999995</v>
      </c>
      <c r="D538" s="585">
        <v>-594042.56999999995</v>
      </c>
      <c r="E538" s="584" t="s">
        <v>872</v>
      </c>
      <c r="F538" s="584" t="s">
        <v>100</v>
      </c>
      <c r="G538" s="584" t="s">
        <v>1549</v>
      </c>
      <c r="H538" s="586" t="s">
        <v>100</v>
      </c>
    </row>
    <row r="539" spans="1:8" ht="15">
      <c r="A539" s="579" t="s">
        <v>1265</v>
      </c>
      <c r="B539" s="580" t="s">
        <v>1625</v>
      </c>
      <c r="C539" s="581">
        <v>-108685.27</v>
      </c>
      <c r="D539" s="581">
        <v>-108685.27</v>
      </c>
      <c r="E539" s="580" t="s">
        <v>872</v>
      </c>
      <c r="F539" s="580" t="s">
        <v>100</v>
      </c>
      <c r="G539" s="580" t="s">
        <v>1549</v>
      </c>
      <c r="H539" s="582" t="s">
        <v>100</v>
      </c>
    </row>
    <row r="540" spans="1:8" ht="15">
      <c r="A540" s="583" t="s">
        <v>1267</v>
      </c>
      <c r="B540" s="584" t="s">
        <v>1268</v>
      </c>
      <c r="C540" s="585">
        <v>-23391.73</v>
      </c>
      <c r="D540" s="585">
        <v>-23391.73</v>
      </c>
      <c r="E540" s="584" t="s">
        <v>872</v>
      </c>
      <c r="F540" s="584" t="s">
        <v>100</v>
      </c>
      <c r="G540" s="584" t="s">
        <v>1549</v>
      </c>
      <c r="H540" s="586" t="s">
        <v>100</v>
      </c>
    </row>
    <row r="541" spans="1:8" ht="15">
      <c r="A541" s="579" t="s">
        <v>1269</v>
      </c>
      <c r="B541" s="580" t="s">
        <v>1270</v>
      </c>
      <c r="C541" s="581">
        <v>-19037320.760000002</v>
      </c>
      <c r="D541" s="581">
        <v>-19038690.760000002</v>
      </c>
      <c r="E541" s="580" t="s">
        <v>872</v>
      </c>
      <c r="F541" s="580" t="s">
        <v>100</v>
      </c>
      <c r="G541" s="580" t="s">
        <v>1550</v>
      </c>
      <c r="H541" s="582" t="s">
        <v>1271</v>
      </c>
    </row>
    <row r="542" spans="1:8" ht="15">
      <c r="A542" s="583" t="s">
        <v>1272</v>
      </c>
      <c r="B542" s="584" t="s">
        <v>189</v>
      </c>
      <c r="C542" s="585">
        <v>0</v>
      </c>
      <c r="D542" s="585">
        <v>0</v>
      </c>
      <c r="E542" s="584" t="s">
        <v>872</v>
      </c>
      <c r="F542" s="584" t="s">
        <v>100</v>
      </c>
      <c r="G542" s="584" t="s">
        <v>1548</v>
      </c>
      <c r="H542" s="586" t="s">
        <v>100</v>
      </c>
    </row>
    <row r="543" spans="1:8" ht="15">
      <c r="A543" s="579" t="s">
        <v>1273</v>
      </c>
      <c r="B543" s="580" t="s">
        <v>1110</v>
      </c>
      <c r="C543" s="581">
        <v>-3237634.45</v>
      </c>
      <c r="D543" s="581">
        <v>-3261361.45</v>
      </c>
      <c r="E543" s="580" t="s">
        <v>872</v>
      </c>
      <c r="F543" s="580" t="s">
        <v>100</v>
      </c>
      <c r="G543" s="580" t="s">
        <v>1549</v>
      </c>
      <c r="H543" s="582" t="s">
        <v>100</v>
      </c>
    </row>
    <row r="544" spans="1:8" ht="15">
      <c r="A544" s="583" t="s">
        <v>1274</v>
      </c>
      <c r="B544" s="584" t="s">
        <v>1626</v>
      </c>
      <c r="C544" s="585">
        <v>-347304.58</v>
      </c>
      <c r="D544" s="585">
        <v>-347304.58</v>
      </c>
      <c r="E544" s="584" t="s">
        <v>872</v>
      </c>
      <c r="F544" s="584" t="s">
        <v>100</v>
      </c>
      <c r="G544" s="584" t="s">
        <v>1549</v>
      </c>
      <c r="H544" s="586" t="s">
        <v>100</v>
      </c>
    </row>
    <row r="545" spans="1:8" ht="15">
      <c r="A545" s="579" t="s">
        <v>1276</v>
      </c>
      <c r="B545" s="580" t="s">
        <v>1277</v>
      </c>
      <c r="C545" s="581">
        <v>0</v>
      </c>
      <c r="D545" s="581">
        <v>0</v>
      </c>
      <c r="E545" s="580" t="s">
        <v>872</v>
      </c>
      <c r="F545" s="580" t="s">
        <v>100</v>
      </c>
      <c r="G545" s="580" t="s">
        <v>1549</v>
      </c>
      <c r="H545" s="582" t="s">
        <v>100</v>
      </c>
    </row>
    <row r="546" spans="1:8" ht="15">
      <c r="A546" s="583" t="s">
        <v>1278</v>
      </c>
      <c r="B546" s="584" t="s">
        <v>1279</v>
      </c>
      <c r="C546" s="585">
        <v>-379819.4</v>
      </c>
      <c r="D546" s="585">
        <v>-379819.4</v>
      </c>
      <c r="E546" s="584" t="s">
        <v>872</v>
      </c>
      <c r="F546" s="584" t="s">
        <v>100</v>
      </c>
      <c r="G546" s="584" t="s">
        <v>1549</v>
      </c>
      <c r="H546" s="586" t="s">
        <v>100</v>
      </c>
    </row>
    <row r="547" spans="1:8" ht="15">
      <c r="A547" s="579" t="s">
        <v>1280</v>
      </c>
      <c r="B547" s="580" t="s">
        <v>1281</v>
      </c>
      <c r="C547" s="581">
        <v>61228.26</v>
      </c>
      <c r="D547" s="581">
        <v>61228.26</v>
      </c>
      <c r="E547" s="580" t="s">
        <v>872</v>
      </c>
      <c r="F547" s="580" t="s">
        <v>100</v>
      </c>
      <c r="G547" s="580" t="s">
        <v>1549</v>
      </c>
      <c r="H547" s="582" t="s">
        <v>100</v>
      </c>
    </row>
    <row r="548" spans="1:8" ht="15">
      <c r="A548" s="583" t="s">
        <v>1282</v>
      </c>
      <c r="B548" s="584" t="s">
        <v>251</v>
      </c>
      <c r="C548" s="585">
        <v>-3903530.17</v>
      </c>
      <c r="D548" s="585">
        <v>-3927257.17</v>
      </c>
      <c r="E548" s="584" t="s">
        <v>872</v>
      </c>
      <c r="F548" s="584" t="s">
        <v>100</v>
      </c>
      <c r="G548" s="584" t="s">
        <v>1550</v>
      </c>
      <c r="H548" s="586" t="s">
        <v>1283</v>
      </c>
    </row>
    <row r="549" spans="1:8" ht="15">
      <c r="A549" s="579" t="s">
        <v>1284</v>
      </c>
      <c r="B549" s="580" t="s">
        <v>278</v>
      </c>
      <c r="C549" s="581">
        <v>-22940850.93</v>
      </c>
      <c r="D549" s="581">
        <v>-22965947.93</v>
      </c>
      <c r="E549" s="580" t="s">
        <v>872</v>
      </c>
      <c r="F549" s="580" t="s">
        <v>100</v>
      </c>
      <c r="G549" s="580" t="s">
        <v>1550</v>
      </c>
      <c r="H549" s="582" t="s">
        <v>1285</v>
      </c>
    </row>
    <row r="550" spans="1:8" ht="15">
      <c r="A550" s="583" t="s">
        <v>1286</v>
      </c>
      <c r="B550" s="584" t="s">
        <v>281</v>
      </c>
      <c r="C550" s="585">
        <v>0</v>
      </c>
      <c r="D550" s="585">
        <v>0</v>
      </c>
      <c r="E550" s="584" t="s">
        <v>872</v>
      </c>
      <c r="F550" s="584" t="s">
        <v>100</v>
      </c>
      <c r="G550" s="584" t="s">
        <v>1548</v>
      </c>
      <c r="H550" s="586" t="s">
        <v>100</v>
      </c>
    </row>
    <row r="551" spans="1:8" ht="15">
      <c r="A551" s="579" t="s">
        <v>1287</v>
      </c>
      <c r="B551" s="580" t="s">
        <v>1288</v>
      </c>
      <c r="C551" s="581">
        <v>0</v>
      </c>
      <c r="D551" s="581">
        <v>0</v>
      </c>
      <c r="E551" s="580" t="s">
        <v>872</v>
      </c>
      <c r="F551" s="580" t="s">
        <v>100</v>
      </c>
      <c r="G551" s="580" t="s">
        <v>1548</v>
      </c>
      <c r="H551" s="582" t="s">
        <v>100</v>
      </c>
    </row>
    <row r="552" spans="1:8" ht="15">
      <c r="A552" s="583" t="s">
        <v>1289</v>
      </c>
      <c r="B552" s="584" t="s">
        <v>47</v>
      </c>
      <c r="C552" s="585">
        <v>1594310.5</v>
      </c>
      <c r="D552" s="585">
        <v>1594310.5</v>
      </c>
      <c r="E552" s="584" t="s">
        <v>872</v>
      </c>
      <c r="F552" s="584" t="s">
        <v>100</v>
      </c>
      <c r="G552" s="584" t="s">
        <v>1549</v>
      </c>
      <c r="H552" s="586" t="s">
        <v>100</v>
      </c>
    </row>
    <row r="553" spans="1:8" ht="15">
      <c r="A553" s="579" t="s">
        <v>1290</v>
      </c>
      <c r="B553" s="580" t="s">
        <v>1627</v>
      </c>
      <c r="C553" s="581">
        <v>12243.6</v>
      </c>
      <c r="D553" s="581">
        <v>12243.6</v>
      </c>
      <c r="E553" s="580" t="s">
        <v>872</v>
      </c>
      <c r="F553" s="580" t="s">
        <v>100</v>
      </c>
      <c r="G553" s="580" t="s">
        <v>1549</v>
      </c>
      <c r="H553" s="582" t="s">
        <v>100</v>
      </c>
    </row>
    <row r="554" spans="1:8" ht="15">
      <c r="A554" s="583" t="s">
        <v>1292</v>
      </c>
      <c r="B554" s="584" t="s">
        <v>1293</v>
      </c>
      <c r="C554" s="585">
        <v>69709.34</v>
      </c>
      <c r="D554" s="585">
        <v>69709.34</v>
      </c>
      <c r="E554" s="584" t="s">
        <v>872</v>
      </c>
      <c r="F554" s="584" t="s">
        <v>100</v>
      </c>
      <c r="G554" s="584" t="s">
        <v>1549</v>
      </c>
      <c r="H554" s="586" t="s">
        <v>100</v>
      </c>
    </row>
    <row r="555" spans="1:8" ht="15">
      <c r="A555" s="579" t="s">
        <v>1294</v>
      </c>
      <c r="B555" s="580" t="s">
        <v>1295</v>
      </c>
      <c r="C555" s="581">
        <v>60941.89</v>
      </c>
      <c r="D555" s="581">
        <v>60941.89</v>
      </c>
      <c r="E555" s="580" t="s">
        <v>872</v>
      </c>
      <c r="F555" s="580" t="s">
        <v>100</v>
      </c>
      <c r="G555" s="580" t="s">
        <v>1549</v>
      </c>
      <c r="H555" s="582" t="s">
        <v>100</v>
      </c>
    </row>
    <row r="556" spans="1:8" ht="15">
      <c r="A556" s="583" t="s">
        <v>1296</v>
      </c>
      <c r="B556" s="584" t="s">
        <v>1297</v>
      </c>
      <c r="C556" s="585">
        <v>0</v>
      </c>
      <c r="D556" s="585">
        <v>0</v>
      </c>
      <c r="E556" s="584" t="s">
        <v>872</v>
      </c>
      <c r="F556" s="584" t="s">
        <v>100</v>
      </c>
      <c r="G556" s="584" t="s">
        <v>1549</v>
      </c>
      <c r="H556" s="586" t="s">
        <v>100</v>
      </c>
    </row>
    <row r="557" spans="1:8" ht="15">
      <c r="A557" s="579" t="s">
        <v>1298</v>
      </c>
      <c r="B557" s="580" t="s">
        <v>1299</v>
      </c>
      <c r="C557" s="581">
        <v>8657.7900000000009</v>
      </c>
      <c r="D557" s="581">
        <v>8657.7900000000009</v>
      </c>
      <c r="E557" s="580" t="s">
        <v>872</v>
      </c>
      <c r="F557" s="580" t="s">
        <v>100</v>
      </c>
      <c r="G557" s="580" t="s">
        <v>1549</v>
      </c>
      <c r="H557" s="582" t="s">
        <v>100</v>
      </c>
    </row>
    <row r="558" spans="1:8" ht="15">
      <c r="A558" s="583" t="s">
        <v>1300</v>
      </c>
      <c r="B558" s="584" t="s">
        <v>1301</v>
      </c>
      <c r="C558" s="585">
        <v>7306.41</v>
      </c>
      <c r="D558" s="585">
        <v>7306.41</v>
      </c>
      <c r="E558" s="584" t="s">
        <v>872</v>
      </c>
      <c r="F558" s="584" t="s">
        <v>100</v>
      </c>
      <c r="G558" s="584" t="s">
        <v>1549</v>
      </c>
      <c r="H558" s="586" t="s">
        <v>100</v>
      </c>
    </row>
    <row r="559" spans="1:8" ht="15">
      <c r="A559" s="579" t="s">
        <v>1302</v>
      </c>
      <c r="B559" s="580" t="s">
        <v>1303</v>
      </c>
      <c r="C559" s="581">
        <v>485065.16</v>
      </c>
      <c r="D559" s="581">
        <v>494497.94</v>
      </c>
      <c r="E559" s="580" t="s">
        <v>872</v>
      </c>
      <c r="F559" s="580" t="s">
        <v>100</v>
      </c>
      <c r="G559" s="580" t="s">
        <v>1549</v>
      </c>
      <c r="H559" s="582" t="s">
        <v>100</v>
      </c>
    </row>
    <row r="560" spans="1:8" ht="15">
      <c r="A560" s="583" t="s">
        <v>1304</v>
      </c>
      <c r="B560" s="584" t="s">
        <v>664</v>
      </c>
      <c r="C560" s="585">
        <v>5456672.7199999997</v>
      </c>
      <c r="D560" s="585">
        <v>5465745.9400000004</v>
      </c>
      <c r="E560" s="584" t="s">
        <v>872</v>
      </c>
      <c r="F560" s="584" t="s">
        <v>100</v>
      </c>
      <c r="G560" s="584" t="s">
        <v>1549</v>
      </c>
      <c r="H560" s="586" t="s">
        <v>100</v>
      </c>
    </row>
    <row r="561" spans="1:8" ht="15">
      <c r="A561" s="579" t="s">
        <v>1305</v>
      </c>
      <c r="B561" s="580" t="s">
        <v>1306</v>
      </c>
      <c r="C561" s="581">
        <v>448877.77</v>
      </c>
      <c r="D561" s="581">
        <v>453385.62</v>
      </c>
      <c r="E561" s="580" t="s">
        <v>872</v>
      </c>
      <c r="F561" s="580" t="s">
        <v>100</v>
      </c>
      <c r="G561" s="580" t="s">
        <v>1549</v>
      </c>
      <c r="H561" s="582" t="s">
        <v>100</v>
      </c>
    </row>
    <row r="562" spans="1:8" ht="15">
      <c r="A562" s="583" t="s">
        <v>1307</v>
      </c>
      <c r="B562" s="584" t="s">
        <v>1628</v>
      </c>
      <c r="C562" s="585">
        <v>1904106.78</v>
      </c>
      <c r="D562" s="585">
        <v>1906465.78</v>
      </c>
      <c r="E562" s="584" t="s">
        <v>872</v>
      </c>
      <c r="F562" s="584" t="s">
        <v>100</v>
      </c>
      <c r="G562" s="584" t="s">
        <v>1549</v>
      </c>
      <c r="H562" s="586" t="s">
        <v>100</v>
      </c>
    </row>
    <row r="563" spans="1:8" ht="15">
      <c r="A563" s="579" t="s">
        <v>1309</v>
      </c>
      <c r="B563" s="580" t="s">
        <v>1310</v>
      </c>
      <c r="C563" s="581">
        <v>319035.62</v>
      </c>
      <c r="D563" s="581">
        <v>319035.62</v>
      </c>
      <c r="E563" s="580" t="s">
        <v>872</v>
      </c>
      <c r="F563" s="580" t="s">
        <v>100</v>
      </c>
      <c r="G563" s="580" t="s">
        <v>1549</v>
      </c>
      <c r="H563" s="582" t="s">
        <v>100</v>
      </c>
    </row>
    <row r="564" spans="1:8" ht="15">
      <c r="A564" s="583" t="s">
        <v>1311</v>
      </c>
      <c r="B564" s="584" t="s">
        <v>1312</v>
      </c>
      <c r="C564" s="585">
        <v>207059</v>
      </c>
      <c r="D564" s="585">
        <v>208123</v>
      </c>
      <c r="E564" s="584" t="s">
        <v>872</v>
      </c>
      <c r="F564" s="584" t="s">
        <v>100</v>
      </c>
      <c r="G564" s="584" t="s">
        <v>1549</v>
      </c>
      <c r="H564" s="586" t="s">
        <v>100</v>
      </c>
    </row>
    <row r="565" spans="1:8" ht="15">
      <c r="A565" s="579" t="s">
        <v>1313</v>
      </c>
      <c r="B565" s="580" t="s">
        <v>1314</v>
      </c>
      <c r="C565" s="581">
        <v>566607.35999999999</v>
      </c>
      <c r="D565" s="581">
        <v>618211.09</v>
      </c>
      <c r="E565" s="580" t="s">
        <v>872</v>
      </c>
      <c r="F565" s="580" t="s">
        <v>100</v>
      </c>
      <c r="G565" s="580" t="s">
        <v>1549</v>
      </c>
      <c r="H565" s="582" t="s">
        <v>100</v>
      </c>
    </row>
    <row r="566" spans="1:8" ht="15">
      <c r="A566" s="583" t="s">
        <v>1315</v>
      </c>
      <c r="B566" s="584" t="s">
        <v>1316</v>
      </c>
      <c r="C566" s="585">
        <v>0</v>
      </c>
      <c r="D566" s="585">
        <v>0</v>
      </c>
      <c r="E566" s="584" t="s">
        <v>872</v>
      </c>
      <c r="F566" s="584" t="s">
        <v>100</v>
      </c>
      <c r="G566" s="584" t="s">
        <v>1549</v>
      </c>
      <c r="H566" s="586" t="s">
        <v>100</v>
      </c>
    </row>
    <row r="567" spans="1:8" ht="15">
      <c r="A567" s="579" t="s">
        <v>1317</v>
      </c>
      <c r="B567" s="580" t="s">
        <v>1318</v>
      </c>
      <c r="C567" s="581">
        <v>0</v>
      </c>
      <c r="D567" s="581">
        <v>0</v>
      </c>
      <c r="E567" s="580" t="s">
        <v>872</v>
      </c>
      <c r="F567" s="580" t="s">
        <v>100</v>
      </c>
      <c r="G567" s="580" t="s">
        <v>1549</v>
      </c>
      <c r="H567" s="582" t="s">
        <v>100</v>
      </c>
    </row>
    <row r="568" spans="1:8" ht="15">
      <c r="A568" s="583" t="s">
        <v>1319</v>
      </c>
      <c r="B568" s="584" t="s">
        <v>1320</v>
      </c>
      <c r="C568" s="585">
        <v>11140593.939999999</v>
      </c>
      <c r="D568" s="585">
        <v>11218634.52</v>
      </c>
      <c r="E568" s="584" t="s">
        <v>872</v>
      </c>
      <c r="F568" s="584" t="s">
        <v>100</v>
      </c>
      <c r="G568" s="584" t="s">
        <v>1550</v>
      </c>
      <c r="H568" s="586" t="s">
        <v>1321</v>
      </c>
    </row>
    <row r="569" spans="1:8" ht="15">
      <c r="A569" s="579" t="s">
        <v>1322</v>
      </c>
      <c r="B569" s="580" t="s">
        <v>1323</v>
      </c>
      <c r="C569" s="581">
        <v>0</v>
      </c>
      <c r="D569" s="581">
        <v>0</v>
      </c>
      <c r="E569" s="580" t="s">
        <v>872</v>
      </c>
      <c r="F569" s="580" t="s">
        <v>100</v>
      </c>
      <c r="G569" s="580" t="s">
        <v>1548</v>
      </c>
      <c r="H569" s="582" t="s">
        <v>100</v>
      </c>
    </row>
    <row r="570" spans="1:8" ht="15">
      <c r="A570" s="583" t="s">
        <v>1324</v>
      </c>
      <c r="B570" s="584" t="s">
        <v>1325</v>
      </c>
      <c r="C570" s="585">
        <v>89808.39</v>
      </c>
      <c r="D570" s="585">
        <v>89808.39</v>
      </c>
      <c r="E570" s="584" t="s">
        <v>872</v>
      </c>
      <c r="F570" s="584" t="s">
        <v>100</v>
      </c>
      <c r="G570" s="584" t="s">
        <v>1549</v>
      </c>
      <c r="H570" s="586" t="s">
        <v>100</v>
      </c>
    </row>
    <row r="571" spans="1:8" ht="15">
      <c r="A571" s="579" t="s">
        <v>1326</v>
      </c>
      <c r="B571" s="580" t="s">
        <v>1327</v>
      </c>
      <c r="C571" s="581">
        <v>0</v>
      </c>
      <c r="D571" s="581">
        <v>0</v>
      </c>
      <c r="E571" s="580" t="s">
        <v>872</v>
      </c>
      <c r="F571" s="580" t="s">
        <v>100</v>
      </c>
      <c r="G571" s="580" t="s">
        <v>1549</v>
      </c>
      <c r="H571" s="582" t="s">
        <v>100</v>
      </c>
    </row>
    <row r="572" spans="1:8" ht="15">
      <c r="A572" s="583" t="s">
        <v>1328</v>
      </c>
      <c r="B572" s="584" t="s">
        <v>1329</v>
      </c>
      <c r="C572" s="585">
        <v>0</v>
      </c>
      <c r="D572" s="585">
        <v>0</v>
      </c>
      <c r="E572" s="584" t="s">
        <v>872</v>
      </c>
      <c r="F572" s="584" t="s">
        <v>100</v>
      </c>
      <c r="G572" s="584" t="s">
        <v>1549</v>
      </c>
      <c r="H572" s="586" t="s">
        <v>100</v>
      </c>
    </row>
    <row r="573" spans="1:8" ht="15">
      <c r="A573" s="579" t="s">
        <v>1330</v>
      </c>
      <c r="B573" s="580" t="s">
        <v>1331</v>
      </c>
      <c r="C573" s="581">
        <v>1027.75</v>
      </c>
      <c r="D573" s="581">
        <v>1027.75</v>
      </c>
      <c r="E573" s="580" t="s">
        <v>872</v>
      </c>
      <c r="F573" s="580" t="s">
        <v>100</v>
      </c>
      <c r="G573" s="580" t="s">
        <v>1549</v>
      </c>
      <c r="H573" s="582" t="s">
        <v>100</v>
      </c>
    </row>
    <row r="574" spans="1:8" ht="15">
      <c r="A574" s="583" t="s">
        <v>1332</v>
      </c>
      <c r="B574" s="584" t="s">
        <v>1333</v>
      </c>
      <c r="C574" s="585">
        <v>90836.14</v>
      </c>
      <c r="D574" s="585">
        <v>90836.14</v>
      </c>
      <c r="E574" s="584" t="s">
        <v>872</v>
      </c>
      <c r="F574" s="584" t="s">
        <v>100</v>
      </c>
      <c r="G574" s="584" t="s">
        <v>1550</v>
      </c>
      <c r="H574" s="586" t="s">
        <v>1334</v>
      </c>
    </row>
    <row r="575" spans="1:8" ht="15">
      <c r="A575" s="579" t="s">
        <v>1335</v>
      </c>
      <c r="B575" s="580" t="s">
        <v>1336</v>
      </c>
      <c r="C575" s="581">
        <v>0</v>
      </c>
      <c r="D575" s="581">
        <v>0</v>
      </c>
      <c r="E575" s="580" t="s">
        <v>872</v>
      </c>
      <c r="F575" s="580" t="s">
        <v>100</v>
      </c>
      <c r="G575" s="580" t="s">
        <v>1548</v>
      </c>
      <c r="H575" s="582" t="s">
        <v>100</v>
      </c>
    </row>
    <row r="576" spans="1:8" ht="15">
      <c r="A576" s="583" t="s">
        <v>1337</v>
      </c>
      <c r="B576" s="584" t="s">
        <v>1338</v>
      </c>
      <c r="C576" s="585">
        <v>817448.3</v>
      </c>
      <c r="D576" s="585">
        <v>817448.3</v>
      </c>
      <c r="E576" s="584" t="s">
        <v>872</v>
      </c>
      <c r="F576" s="584" t="s">
        <v>100</v>
      </c>
      <c r="G576" s="584" t="s">
        <v>1549</v>
      </c>
      <c r="H576" s="586" t="s">
        <v>100</v>
      </c>
    </row>
    <row r="577" spans="1:8" ht="15">
      <c r="A577" s="579" t="s">
        <v>1339</v>
      </c>
      <c r="B577" s="580" t="s">
        <v>1340</v>
      </c>
      <c r="C577" s="581">
        <v>1899835.42</v>
      </c>
      <c r="D577" s="581">
        <v>1914075.42</v>
      </c>
      <c r="E577" s="580" t="s">
        <v>872</v>
      </c>
      <c r="F577" s="580" t="s">
        <v>100</v>
      </c>
      <c r="G577" s="580" t="s">
        <v>1549</v>
      </c>
      <c r="H577" s="582" t="s">
        <v>100</v>
      </c>
    </row>
    <row r="578" spans="1:8" ht="15">
      <c r="A578" s="583" t="s">
        <v>1341</v>
      </c>
      <c r="B578" s="584" t="s">
        <v>1342</v>
      </c>
      <c r="C578" s="585">
        <v>158400</v>
      </c>
      <c r="D578" s="585">
        <v>158400</v>
      </c>
      <c r="E578" s="584" t="s">
        <v>872</v>
      </c>
      <c r="F578" s="584" t="s">
        <v>100</v>
      </c>
      <c r="G578" s="584" t="s">
        <v>1549</v>
      </c>
      <c r="H578" s="586" t="s">
        <v>100</v>
      </c>
    </row>
    <row r="579" spans="1:8" ht="15">
      <c r="A579" s="579" t="s">
        <v>1343</v>
      </c>
      <c r="B579" s="580" t="s">
        <v>1344</v>
      </c>
      <c r="C579" s="581">
        <v>1441.39</v>
      </c>
      <c r="D579" s="581">
        <v>845317.99</v>
      </c>
      <c r="E579" s="580" t="s">
        <v>872</v>
      </c>
      <c r="F579" s="580" t="s">
        <v>100</v>
      </c>
      <c r="G579" s="580" t="s">
        <v>1549</v>
      </c>
      <c r="H579" s="582" t="s">
        <v>100</v>
      </c>
    </row>
    <row r="580" spans="1:8" ht="15">
      <c r="A580" s="583" t="s">
        <v>1345</v>
      </c>
      <c r="B580" s="584" t="s">
        <v>1346</v>
      </c>
      <c r="C580" s="585">
        <v>302294.33</v>
      </c>
      <c r="D580" s="585">
        <v>302294.33</v>
      </c>
      <c r="E580" s="584" t="s">
        <v>872</v>
      </c>
      <c r="F580" s="584" t="s">
        <v>100</v>
      </c>
      <c r="G580" s="584" t="s">
        <v>1549</v>
      </c>
      <c r="H580" s="586" t="s">
        <v>100</v>
      </c>
    </row>
    <row r="581" spans="1:8" ht="15">
      <c r="A581" s="579" t="s">
        <v>1347</v>
      </c>
      <c r="B581" s="580" t="s">
        <v>1348</v>
      </c>
      <c r="C581" s="581">
        <v>192.16</v>
      </c>
      <c r="D581" s="581">
        <v>192.16</v>
      </c>
      <c r="E581" s="580" t="s">
        <v>872</v>
      </c>
      <c r="F581" s="580" t="s">
        <v>100</v>
      </c>
      <c r="G581" s="580" t="s">
        <v>1549</v>
      </c>
      <c r="H581" s="582" t="s">
        <v>100</v>
      </c>
    </row>
    <row r="582" spans="1:8" ht="15">
      <c r="A582" s="583" t="s">
        <v>1349</v>
      </c>
      <c r="B582" s="584" t="s">
        <v>1350</v>
      </c>
      <c r="C582" s="585">
        <v>121866.31</v>
      </c>
      <c r="D582" s="585">
        <v>121866.31</v>
      </c>
      <c r="E582" s="584" t="s">
        <v>872</v>
      </c>
      <c r="F582" s="584" t="s">
        <v>100</v>
      </c>
      <c r="G582" s="584" t="s">
        <v>1549</v>
      </c>
      <c r="H582" s="586" t="s">
        <v>100</v>
      </c>
    </row>
    <row r="583" spans="1:8" ht="15">
      <c r="A583" s="579" t="s">
        <v>1351</v>
      </c>
      <c r="B583" s="580" t="s">
        <v>1352</v>
      </c>
      <c r="C583" s="581">
        <v>-963</v>
      </c>
      <c r="D583" s="581">
        <v>-963</v>
      </c>
      <c r="E583" s="580" t="s">
        <v>872</v>
      </c>
      <c r="F583" s="580" t="s">
        <v>100</v>
      </c>
      <c r="G583" s="580" t="s">
        <v>1549</v>
      </c>
      <c r="H583" s="582" t="s">
        <v>100</v>
      </c>
    </row>
    <row r="584" spans="1:8" ht="15">
      <c r="A584" s="583" t="s">
        <v>1353</v>
      </c>
      <c r="B584" s="584" t="s">
        <v>1354</v>
      </c>
      <c r="C584" s="585">
        <v>0</v>
      </c>
      <c r="D584" s="585">
        <v>0</v>
      </c>
      <c r="E584" s="584" t="s">
        <v>872</v>
      </c>
      <c r="F584" s="584" t="s">
        <v>100</v>
      </c>
      <c r="G584" s="584" t="s">
        <v>1549</v>
      </c>
      <c r="H584" s="586" t="s">
        <v>100</v>
      </c>
    </row>
    <row r="585" spans="1:8" ht="15">
      <c r="A585" s="579" t="s">
        <v>1355</v>
      </c>
      <c r="B585" s="580" t="s">
        <v>1356</v>
      </c>
      <c r="C585" s="581">
        <v>0</v>
      </c>
      <c r="D585" s="581">
        <v>0</v>
      </c>
      <c r="E585" s="580" t="s">
        <v>872</v>
      </c>
      <c r="F585" s="580" t="s">
        <v>100</v>
      </c>
      <c r="G585" s="580" t="s">
        <v>1549</v>
      </c>
      <c r="H585" s="582" t="s">
        <v>100</v>
      </c>
    </row>
    <row r="586" spans="1:8" ht="15">
      <c r="A586" s="583" t="s">
        <v>1357</v>
      </c>
      <c r="B586" s="584" t="s">
        <v>1358</v>
      </c>
      <c r="C586" s="585">
        <v>41326</v>
      </c>
      <c r="D586" s="585">
        <v>41326</v>
      </c>
      <c r="E586" s="584" t="s">
        <v>872</v>
      </c>
      <c r="F586" s="584" t="s">
        <v>100</v>
      </c>
      <c r="G586" s="584" t="s">
        <v>1549</v>
      </c>
      <c r="H586" s="586" t="s">
        <v>100</v>
      </c>
    </row>
    <row r="587" spans="1:8" ht="15">
      <c r="A587" s="579" t="s">
        <v>1359</v>
      </c>
      <c r="B587" s="580" t="s">
        <v>1360</v>
      </c>
      <c r="C587" s="581">
        <v>995603.83</v>
      </c>
      <c r="D587" s="581">
        <v>995603.83</v>
      </c>
      <c r="E587" s="580" t="s">
        <v>872</v>
      </c>
      <c r="F587" s="580" t="s">
        <v>100</v>
      </c>
      <c r="G587" s="580" t="s">
        <v>1549</v>
      </c>
      <c r="H587" s="582" t="s">
        <v>100</v>
      </c>
    </row>
    <row r="588" spans="1:8" ht="15">
      <c r="A588" s="583" t="s">
        <v>1361</v>
      </c>
      <c r="B588" s="584" t="s">
        <v>1362</v>
      </c>
      <c r="C588" s="585">
        <v>1060499.25</v>
      </c>
      <c r="D588" s="585">
        <v>1073820.5</v>
      </c>
      <c r="E588" s="584" t="s">
        <v>872</v>
      </c>
      <c r="F588" s="584" t="s">
        <v>100</v>
      </c>
      <c r="G588" s="584" t="s">
        <v>1549</v>
      </c>
      <c r="H588" s="586" t="s">
        <v>100</v>
      </c>
    </row>
    <row r="589" spans="1:8" ht="15">
      <c r="A589" s="579" t="s">
        <v>1363</v>
      </c>
      <c r="B589" s="580" t="s">
        <v>1364</v>
      </c>
      <c r="C589" s="581">
        <v>0</v>
      </c>
      <c r="D589" s="581">
        <v>0</v>
      </c>
      <c r="E589" s="580" t="s">
        <v>872</v>
      </c>
      <c r="F589" s="580" t="s">
        <v>100</v>
      </c>
      <c r="G589" s="580" t="s">
        <v>1549</v>
      </c>
      <c r="H589" s="582" t="s">
        <v>100</v>
      </c>
    </row>
    <row r="590" spans="1:8" ht="15">
      <c r="A590" s="583" t="s">
        <v>1365</v>
      </c>
      <c r="B590" s="584" t="s">
        <v>1366</v>
      </c>
      <c r="C590" s="585">
        <v>2513434.85</v>
      </c>
      <c r="D590" s="585">
        <v>2513434.85</v>
      </c>
      <c r="E590" s="584" t="s">
        <v>872</v>
      </c>
      <c r="F590" s="584" t="s">
        <v>100</v>
      </c>
      <c r="G590" s="584" t="s">
        <v>1549</v>
      </c>
      <c r="H590" s="586" t="s">
        <v>100</v>
      </c>
    </row>
    <row r="591" spans="1:8" ht="15">
      <c r="A591" s="579" t="s">
        <v>1367</v>
      </c>
      <c r="B591" s="580" t="s">
        <v>495</v>
      </c>
      <c r="C591" s="581">
        <v>709548.51</v>
      </c>
      <c r="D591" s="581">
        <v>709548.51</v>
      </c>
      <c r="E591" s="580" t="s">
        <v>872</v>
      </c>
      <c r="F591" s="580" t="s">
        <v>100</v>
      </c>
      <c r="G591" s="580" t="s">
        <v>1549</v>
      </c>
      <c r="H591" s="582" t="s">
        <v>100</v>
      </c>
    </row>
    <row r="592" spans="1:8" ht="15">
      <c r="A592" s="583" t="s">
        <v>1368</v>
      </c>
      <c r="B592" s="584" t="s">
        <v>1369</v>
      </c>
      <c r="C592" s="585">
        <v>740840.7</v>
      </c>
      <c r="D592" s="585">
        <v>740840.7</v>
      </c>
      <c r="E592" s="584" t="s">
        <v>872</v>
      </c>
      <c r="F592" s="584" t="s">
        <v>100</v>
      </c>
      <c r="G592" s="584" t="s">
        <v>1549</v>
      </c>
      <c r="H592" s="586" t="s">
        <v>100</v>
      </c>
    </row>
    <row r="593" spans="1:8" ht="15">
      <c r="A593" s="579" t="s">
        <v>1370</v>
      </c>
      <c r="B593" s="580" t="s">
        <v>1301</v>
      </c>
      <c r="C593" s="581">
        <v>0</v>
      </c>
      <c r="D593" s="581">
        <v>0</v>
      </c>
      <c r="E593" s="580" t="s">
        <v>872</v>
      </c>
      <c r="F593" s="580" t="s">
        <v>100</v>
      </c>
      <c r="G593" s="580" t="s">
        <v>1549</v>
      </c>
      <c r="H593" s="582" t="s">
        <v>100</v>
      </c>
    </row>
    <row r="594" spans="1:8" ht="15">
      <c r="A594" s="583" t="s">
        <v>1371</v>
      </c>
      <c r="B594" s="584" t="s">
        <v>1372</v>
      </c>
      <c r="C594" s="585">
        <v>9275.66</v>
      </c>
      <c r="D594" s="585">
        <v>9275.66</v>
      </c>
      <c r="E594" s="584" t="s">
        <v>872</v>
      </c>
      <c r="F594" s="584" t="s">
        <v>100</v>
      </c>
      <c r="G594" s="584" t="s">
        <v>1549</v>
      </c>
      <c r="H594" s="586" t="s">
        <v>100</v>
      </c>
    </row>
    <row r="595" spans="1:8" ht="15">
      <c r="A595" s="579" t="s">
        <v>1373</v>
      </c>
      <c r="B595" s="580" t="s">
        <v>1374</v>
      </c>
      <c r="C595" s="581">
        <v>9371043.7100000009</v>
      </c>
      <c r="D595" s="581">
        <v>10242481.560000001</v>
      </c>
      <c r="E595" s="580" t="s">
        <v>872</v>
      </c>
      <c r="F595" s="580" t="s">
        <v>100</v>
      </c>
      <c r="G595" s="580" t="s">
        <v>1550</v>
      </c>
      <c r="H595" s="582" t="s">
        <v>1375</v>
      </c>
    </row>
    <row r="596" spans="1:8" ht="15">
      <c r="A596" s="583" t="s">
        <v>1376</v>
      </c>
      <c r="B596" s="584" t="s">
        <v>1377</v>
      </c>
      <c r="C596" s="585">
        <v>0</v>
      </c>
      <c r="D596" s="585">
        <v>0</v>
      </c>
      <c r="E596" s="584" t="s">
        <v>872</v>
      </c>
      <c r="F596" s="584" t="s">
        <v>100</v>
      </c>
      <c r="G596" s="584" t="s">
        <v>1548</v>
      </c>
      <c r="H596" s="586" t="s">
        <v>100</v>
      </c>
    </row>
    <row r="597" spans="1:8" ht="15">
      <c r="A597" s="579" t="s">
        <v>1378</v>
      </c>
      <c r="B597" s="580" t="s">
        <v>1379</v>
      </c>
      <c r="C597" s="581">
        <v>1454747.82</v>
      </c>
      <c r="D597" s="581">
        <v>1454747.82</v>
      </c>
      <c r="E597" s="580" t="s">
        <v>872</v>
      </c>
      <c r="F597" s="580" t="s">
        <v>100</v>
      </c>
      <c r="G597" s="580" t="s">
        <v>1549</v>
      </c>
      <c r="H597" s="582" t="s">
        <v>100</v>
      </c>
    </row>
    <row r="598" spans="1:8" ht="15">
      <c r="A598" s="583" t="s">
        <v>1380</v>
      </c>
      <c r="B598" s="584" t="s">
        <v>1381</v>
      </c>
      <c r="C598" s="585">
        <v>1454747.82</v>
      </c>
      <c r="D598" s="585">
        <v>1454747.82</v>
      </c>
      <c r="E598" s="584" t="s">
        <v>872</v>
      </c>
      <c r="F598" s="584" t="s">
        <v>100</v>
      </c>
      <c r="G598" s="584" t="s">
        <v>1550</v>
      </c>
      <c r="H598" s="586" t="s">
        <v>1382</v>
      </c>
    </row>
    <row r="599" spans="1:8" ht="15">
      <c r="A599" s="579" t="s">
        <v>1383</v>
      </c>
      <c r="B599" s="580" t="s">
        <v>1384</v>
      </c>
      <c r="C599" s="581">
        <v>0</v>
      </c>
      <c r="D599" s="581">
        <v>0</v>
      </c>
      <c r="E599" s="580" t="s">
        <v>872</v>
      </c>
      <c r="F599" s="580" t="s">
        <v>100</v>
      </c>
      <c r="G599" s="580" t="s">
        <v>1548</v>
      </c>
      <c r="H599" s="582" t="s">
        <v>100</v>
      </c>
    </row>
    <row r="600" spans="1:8" ht="15">
      <c r="A600" s="583" t="s">
        <v>1385</v>
      </c>
      <c r="B600" s="584" t="s">
        <v>1386</v>
      </c>
      <c r="C600" s="585">
        <v>115060.75</v>
      </c>
      <c r="D600" s="585">
        <v>115060.75</v>
      </c>
      <c r="E600" s="584" t="s">
        <v>872</v>
      </c>
      <c r="F600" s="584" t="s">
        <v>100</v>
      </c>
      <c r="G600" s="584" t="s">
        <v>1549</v>
      </c>
      <c r="H600" s="586" t="s">
        <v>100</v>
      </c>
    </row>
    <row r="601" spans="1:8" ht="15">
      <c r="A601" s="579" t="s">
        <v>1387</v>
      </c>
      <c r="B601" s="580" t="s">
        <v>1388</v>
      </c>
      <c r="C601" s="581">
        <v>0</v>
      </c>
      <c r="D601" s="581">
        <v>0</v>
      </c>
      <c r="E601" s="580" t="s">
        <v>872</v>
      </c>
      <c r="F601" s="580" t="s">
        <v>100</v>
      </c>
      <c r="G601" s="580" t="s">
        <v>1549</v>
      </c>
      <c r="H601" s="582" t="s">
        <v>100</v>
      </c>
    </row>
    <row r="602" spans="1:8" ht="15">
      <c r="A602" s="583" t="s">
        <v>1389</v>
      </c>
      <c r="B602" s="584" t="s">
        <v>1390</v>
      </c>
      <c r="C602" s="585">
        <v>0</v>
      </c>
      <c r="D602" s="585">
        <v>0</v>
      </c>
      <c r="E602" s="584" t="s">
        <v>872</v>
      </c>
      <c r="F602" s="584" t="s">
        <v>100</v>
      </c>
      <c r="G602" s="584" t="s">
        <v>1549</v>
      </c>
      <c r="H602" s="586" t="s">
        <v>100</v>
      </c>
    </row>
    <row r="603" spans="1:8" ht="15">
      <c r="A603" s="579" t="s">
        <v>1391</v>
      </c>
      <c r="B603" s="580" t="s">
        <v>1392</v>
      </c>
      <c r="C603" s="581">
        <v>115060.75</v>
      </c>
      <c r="D603" s="581">
        <v>115060.75</v>
      </c>
      <c r="E603" s="580" t="s">
        <v>872</v>
      </c>
      <c r="F603" s="580" t="s">
        <v>100</v>
      </c>
      <c r="G603" s="580" t="s">
        <v>1550</v>
      </c>
      <c r="H603" s="582" t="s">
        <v>1393</v>
      </c>
    </row>
    <row r="604" spans="1:8" ht="15">
      <c r="A604" s="583" t="s">
        <v>1394</v>
      </c>
      <c r="B604" s="584" t="s">
        <v>1152</v>
      </c>
      <c r="C604" s="585">
        <v>22172282.359999999</v>
      </c>
      <c r="D604" s="585">
        <v>23121760.789999999</v>
      </c>
      <c r="E604" s="584" t="s">
        <v>872</v>
      </c>
      <c r="F604" s="584" t="s">
        <v>100</v>
      </c>
      <c r="G604" s="584" t="s">
        <v>1550</v>
      </c>
      <c r="H604" s="586" t="s">
        <v>1395</v>
      </c>
    </row>
    <row r="605" spans="1:8" ht="15">
      <c r="A605" s="579" t="s">
        <v>1396</v>
      </c>
      <c r="B605" s="580" t="s">
        <v>1397</v>
      </c>
      <c r="C605" s="581">
        <v>-768568.57</v>
      </c>
      <c r="D605" s="581">
        <v>155812.85999999999</v>
      </c>
      <c r="E605" s="580" t="s">
        <v>872</v>
      </c>
      <c r="F605" s="580" t="s">
        <v>100</v>
      </c>
      <c r="G605" s="580" t="s">
        <v>1550</v>
      </c>
      <c r="H605" s="582" t="s">
        <v>1398</v>
      </c>
    </row>
    <row r="606" spans="1:8" ht="15">
      <c r="A606" s="583" t="s">
        <v>1399</v>
      </c>
      <c r="B606" s="584" t="s">
        <v>1400</v>
      </c>
      <c r="C606" s="585">
        <v>0</v>
      </c>
      <c r="D606" s="585">
        <v>0</v>
      </c>
      <c r="E606" s="584" t="s">
        <v>872</v>
      </c>
      <c r="F606" s="584" t="s">
        <v>100</v>
      </c>
      <c r="G606" s="584" t="s">
        <v>1548</v>
      </c>
      <c r="H606" s="586" t="s">
        <v>100</v>
      </c>
    </row>
    <row r="607" spans="1:8" ht="15">
      <c r="A607" s="579" t="s">
        <v>1401</v>
      </c>
      <c r="B607" s="580" t="s">
        <v>1402</v>
      </c>
      <c r="C607" s="581">
        <v>-12651.88</v>
      </c>
      <c r="D607" s="581">
        <v>-27227.51</v>
      </c>
      <c r="E607" s="580" t="s">
        <v>872</v>
      </c>
      <c r="F607" s="580" t="s">
        <v>100</v>
      </c>
      <c r="G607" s="580" t="s">
        <v>1549</v>
      </c>
      <c r="H607" s="582" t="s">
        <v>100</v>
      </c>
    </row>
    <row r="608" spans="1:8" ht="15">
      <c r="A608" s="583" t="s">
        <v>1403</v>
      </c>
      <c r="B608" s="584" t="s">
        <v>1404</v>
      </c>
      <c r="C608" s="585">
        <v>-2698.03</v>
      </c>
      <c r="D608" s="585">
        <v>-2698.03</v>
      </c>
      <c r="E608" s="584" t="s">
        <v>872</v>
      </c>
      <c r="F608" s="584" t="s">
        <v>100</v>
      </c>
      <c r="G608" s="584" t="s">
        <v>1549</v>
      </c>
      <c r="H608" s="586" t="s">
        <v>100</v>
      </c>
    </row>
    <row r="609" spans="1:8" ht="15">
      <c r="A609" s="579" t="s">
        <v>1405</v>
      </c>
      <c r="B609" s="580" t="s">
        <v>1406</v>
      </c>
      <c r="C609" s="581">
        <v>-0.79</v>
      </c>
      <c r="D609" s="581">
        <v>-0.79</v>
      </c>
      <c r="E609" s="580" t="s">
        <v>872</v>
      </c>
      <c r="F609" s="580" t="s">
        <v>100</v>
      </c>
      <c r="G609" s="580" t="s">
        <v>1549</v>
      </c>
      <c r="H609" s="582" t="s">
        <v>100</v>
      </c>
    </row>
    <row r="610" spans="1:8" ht="15">
      <c r="A610" s="583" t="s">
        <v>1407</v>
      </c>
      <c r="B610" s="584" t="s">
        <v>1408</v>
      </c>
      <c r="C610" s="585">
        <v>-15350.7</v>
      </c>
      <c r="D610" s="585">
        <v>-29926.33</v>
      </c>
      <c r="E610" s="584" t="s">
        <v>872</v>
      </c>
      <c r="F610" s="584" t="s">
        <v>100</v>
      </c>
      <c r="G610" s="584" t="s">
        <v>1550</v>
      </c>
      <c r="H610" s="586" t="s">
        <v>1409</v>
      </c>
    </row>
    <row r="611" spans="1:8" ht="15">
      <c r="A611" s="579" t="s">
        <v>1410</v>
      </c>
      <c r="B611" s="580" t="s">
        <v>1411</v>
      </c>
      <c r="C611" s="581">
        <v>0</v>
      </c>
      <c r="D611" s="581">
        <v>0</v>
      </c>
      <c r="E611" s="580" t="s">
        <v>872</v>
      </c>
      <c r="F611" s="580" t="s">
        <v>100</v>
      </c>
      <c r="G611" s="580" t="s">
        <v>1548</v>
      </c>
      <c r="H611" s="582" t="s">
        <v>100</v>
      </c>
    </row>
    <row r="612" spans="1:8" ht="15">
      <c r="A612" s="583" t="s">
        <v>1412</v>
      </c>
      <c r="B612" s="584" t="s">
        <v>1413</v>
      </c>
      <c r="C612" s="585">
        <v>0</v>
      </c>
      <c r="D612" s="585">
        <v>0</v>
      </c>
      <c r="E612" s="584" t="s">
        <v>872</v>
      </c>
      <c r="F612" s="584" t="s">
        <v>100</v>
      </c>
      <c r="G612" s="584" t="s">
        <v>1549</v>
      </c>
      <c r="H612" s="586" t="s">
        <v>100</v>
      </c>
    </row>
    <row r="613" spans="1:8" ht="15">
      <c r="A613" s="579" t="s">
        <v>1414</v>
      </c>
      <c r="B613" s="580" t="s">
        <v>1415</v>
      </c>
      <c r="C613" s="581">
        <v>0</v>
      </c>
      <c r="D613" s="581">
        <v>0</v>
      </c>
      <c r="E613" s="580" t="s">
        <v>872</v>
      </c>
      <c r="F613" s="580" t="s">
        <v>100</v>
      </c>
      <c r="G613" s="580" t="s">
        <v>1549</v>
      </c>
      <c r="H613" s="582" t="s">
        <v>100</v>
      </c>
    </row>
    <row r="614" spans="1:8" ht="15">
      <c r="A614" s="583" t="s">
        <v>1416</v>
      </c>
      <c r="B614" s="584" t="s">
        <v>1417</v>
      </c>
      <c r="C614" s="585">
        <v>0.62</v>
      </c>
      <c r="D614" s="585">
        <v>0.62</v>
      </c>
      <c r="E614" s="584" t="s">
        <v>872</v>
      </c>
      <c r="F614" s="584" t="s">
        <v>100</v>
      </c>
      <c r="G614" s="584" t="s">
        <v>1549</v>
      </c>
      <c r="H614" s="586" t="s">
        <v>100</v>
      </c>
    </row>
    <row r="615" spans="1:8" ht="15">
      <c r="A615" s="579" t="s">
        <v>1418</v>
      </c>
      <c r="B615" s="580" t="s">
        <v>515</v>
      </c>
      <c r="C615" s="581">
        <v>-272220.94</v>
      </c>
      <c r="D615" s="581">
        <v>-310193.91999999998</v>
      </c>
      <c r="E615" s="580" t="s">
        <v>872</v>
      </c>
      <c r="F615" s="580" t="s">
        <v>100</v>
      </c>
      <c r="G615" s="580" t="s">
        <v>1549</v>
      </c>
      <c r="H615" s="582" t="s">
        <v>100</v>
      </c>
    </row>
    <row r="616" spans="1:8" ht="15">
      <c r="A616" s="583" t="s">
        <v>1629</v>
      </c>
      <c r="B616" s="584" t="s">
        <v>1630</v>
      </c>
      <c r="C616" s="585">
        <v>-1189019.52</v>
      </c>
      <c r="D616" s="585">
        <v>-1189019.52</v>
      </c>
      <c r="E616" s="584" t="s">
        <v>872</v>
      </c>
      <c r="F616" s="584" t="s">
        <v>100</v>
      </c>
      <c r="G616" s="584" t="s">
        <v>1549</v>
      </c>
      <c r="H616" s="586" t="s">
        <v>100</v>
      </c>
    </row>
    <row r="617" spans="1:8" ht="15">
      <c r="A617" s="579" t="s">
        <v>1631</v>
      </c>
      <c r="B617" s="580" t="s">
        <v>1632</v>
      </c>
      <c r="C617" s="581">
        <v>-48978.36</v>
      </c>
      <c r="D617" s="581">
        <v>-48978.36</v>
      </c>
      <c r="E617" s="580" t="s">
        <v>872</v>
      </c>
      <c r="F617" s="580" t="s">
        <v>100</v>
      </c>
      <c r="G617" s="580" t="s">
        <v>1549</v>
      </c>
      <c r="H617" s="582" t="s">
        <v>100</v>
      </c>
    </row>
    <row r="618" spans="1:8" ht="15">
      <c r="A618" s="583" t="s">
        <v>1419</v>
      </c>
      <c r="B618" s="584" t="s">
        <v>1420</v>
      </c>
      <c r="C618" s="585">
        <v>-1510218.2</v>
      </c>
      <c r="D618" s="585">
        <v>-1548191.18</v>
      </c>
      <c r="E618" s="584" t="s">
        <v>872</v>
      </c>
      <c r="F618" s="584" t="s">
        <v>100</v>
      </c>
      <c r="G618" s="584" t="s">
        <v>1550</v>
      </c>
      <c r="H618" s="586" t="s">
        <v>1421</v>
      </c>
    </row>
    <row r="619" spans="1:8" ht="15">
      <c r="A619" s="579" t="s">
        <v>1422</v>
      </c>
      <c r="B619" s="580" t="s">
        <v>1423</v>
      </c>
      <c r="C619" s="581">
        <v>0</v>
      </c>
      <c r="D619" s="581">
        <v>0</v>
      </c>
      <c r="E619" s="580" t="s">
        <v>872</v>
      </c>
      <c r="F619" s="580" t="s">
        <v>100</v>
      </c>
      <c r="G619" s="580" t="s">
        <v>1548</v>
      </c>
      <c r="H619" s="582" t="s">
        <v>100</v>
      </c>
    </row>
    <row r="620" spans="1:8" ht="15">
      <c r="A620" s="583" t="s">
        <v>1424</v>
      </c>
      <c r="B620" s="584" t="s">
        <v>1425</v>
      </c>
      <c r="C620" s="585">
        <v>-4504.13</v>
      </c>
      <c r="D620" s="585">
        <v>-2097.96</v>
      </c>
      <c r="E620" s="584" t="s">
        <v>872</v>
      </c>
      <c r="F620" s="584" t="s">
        <v>100</v>
      </c>
      <c r="G620" s="584" t="s">
        <v>1549</v>
      </c>
      <c r="H620" s="586" t="s">
        <v>100</v>
      </c>
    </row>
    <row r="621" spans="1:8" ht="15">
      <c r="A621" s="579" t="s">
        <v>1426</v>
      </c>
      <c r="B621" s="580" t="s">
        <v>1427</v>
      </c>
      <c r="C621" s="581">
        <v>185115</v>
      </c>
      <c r="D621" s="581">
        <v>185115</v>
      </c>
      <c r="E621" s="580" t="s">
        <v>872</v>
      </c>
      <c r="F621" s="580" t="s">
        <v>100</v>
      </c>
      <c r="G621" s="580" t="s">
        <v>1549</v>
      </c>
      <c r="H621" s="582" t="s">
        <v>100</v>
      </c>
    </row>
    <row r="622" spans="1:8" ht="15">
      <c r="A622" s="583" t="s">
        <v>1428</v>
      </c>
      <c r="B622" s="584" t="s">
        <v>1429</v>
      </c>
      <c r="C622" s="585">
        <v>-11093</v>
      </c>
      <c r="D622" s="585">
        <v>-23523</v>
      </c>
      <c r="E622" s="584" t="s">
        <v>872</v>
      </c>
      <c r="F622" s="584" t="s">
        <v>100</v>
      </c>
      <c r="G622" s="584" t="s">
        <v>1549</v>
      </c>
      <c r="H622" s="586" t="s">
        <v>100</v>
      </c>
    </row>
    <row r="623" spans="1:8" ht="15">
      <c r="A623" s="579" t="s">
        <v>1430</v>
      </c>
      <c r="B623" s="580" t="s">
        <v>1431</v>
      </c>
      <c r="C623" s="581">
        <v>0</v>
      </c>
      <c r="D623" s="581">
        <v>0</v>
      </c>
      <c r="E623" s="580" t="s">
        <v>872</v>
      </c>
      <c r="F623" s="580" t="s">
        <v>100</v>
      </c>
      <c r="G623" s="580" t="s">
        <v>1549</v>
      </c>
      <c r="H623" s="582" t="s">
        <v>100</v>
      </c>
    </row>
    <row r="624" spans="1:8" ht="15">
      <c r="A624" s="583" t="s">
        <v>1432</v>
      </c>
      <c r="B624" s="584" t="s">
        <v>1433</v>
      </c>
      <c r="C624" s="585">
        <v>79510</v>
      </c>
      <c r="D624" s="585">
        <v>133702.76</v>
      </c>
      <c r="E624" s="584" t="s">
        <v>156</v>
      </c>
      <c r="F624" s="584" t="s">
        <v>100</v>
      </c>
      <c r="G624" s="584" t="s">
        <v>1549</v>
      </c>
      <c r="H624" s="586" t="s">
        <v>100</v>
      </c>
    </row>
    <row r="625" spans="1:8" ht="15">
      <c r="A625" s="579" t="s">
        <v>1434</v>
      </c>
      <c r="B625" s="580" t="s">
        <v>1435</v>
      </c>
      <c r="C625" s="581">
        <v>-79510</v>
      </c>
      <c r="D625" s="581">
        <v>-133702.76</v>
      </c>
      <c r="E625" s="580" t="s">
        <v>156</v>
      </c>
      <c r="F625" s="580" t="s">
        <v>100</v>
      </c>
      <c r="G625" s="580" t="s">
        <v>1549</v>
      </c>
      <c r="H625" s="582" t="s">
        <v>100</v>
      </c>
    </row>
    <row r="626" spans="1:8" ht="15">
      <c r="A626" s="583" t="s">
        <v>1436</v>
      </c>
      <c r="B626" s="584" t="s">
        <v>1437</v>
      </c>
      <c r="C626" s="585">
        <v>680790.5</v>
      </c>
      <c r="D626" s="585">
        <v>397230</v>
      </c>
      <c r="E626" s="584" t="s">
        <v>872</v>
      </c>
      <c r="F626" s="584" t="s">
        <v>100</v>
      </c>
      <c r="G626" s="584" t="s">
        <v>1549</v>
      </c>
      <c r="H626" s="586" t="s">
        <v>100</v>
      </c>
    </row>
    <row r="627" spans="1:8" ht="15">
      <c r="A627" s="579" t="s">
        <v>1438</v>
      </c>
      <c r="B627" s="580" t="s">
        <v>1439</v>
      </c>
      <c r="C627" s="581">
        <v>850308.37</v>
      </c>
      <c r="D627" s="581">
        <v>556724.04</v>
      </c>
      <c r="E627" s="580" t="s">
        <v>872</v>
      </c>
      <c r="F627" s="580" t="s">
        <v>100</v>
      </c>
      <c r="G627" s="580" t="s">
        <v>1550</v>
      </c>
      <c r="H627" s="582" t="s">
        <v>1440</v>
      </c>
    </row>
    <row r="628" spans="1:8" ht="15">
      <c r="A628" s="583" t="s">
        <v>1441</v>
      </c>
      <c r="B628" s="584" t="s">
        <v>1442</v>
      </c>
      <c r="C628" s="585">
        <v>-3926912.37</v>
      </c>
      <c r="D628" s="585">
        <v>-2246989.4500000002</v>
      </c>
      <c r="E628" s="584" t="s">
        <v>872</v>
      </c>
      <c r="F628" s="584" t="s">
        <v>100</v>
      </c>
      <c r="G628" s="584" t="s">
        <v>1550</v>
      </c>
      <c r="H628" s="586" t="s">
        <v>1443</v>
      </c>
    </row>
    <row r="629" spans="1:8" ht="15">
      <c r="A629" s="579" t="s">
        <v>1444</v>
      </c>
      <c r="B629" s="580" t="s">
        <v>1445</v>
      </c>
      <c r="C629" s="581">
        <v>-69585522.939999998</v>
      </c>
      <c r="D629" s="581">
        <v>-67789779.909999996</v>
      </c>
      <c r="E629" s="580" t="s">
        <v>872</v>
      </c>
      <c r="F629" s="580" t="s">
        <v>100</v>
      </c>
      <c r="G629" s="580" t="s">
        <v>1550</v>
      </c>
      <c r="H629" s="582" t="s">
        <v>1446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B8CA2-B4CC-4533-ACDD-E0B470DBA89B}">
  <dimension ref="A2:R633"/>
  <sheetViews>
    <sheetView workbookViewId="0">
      <selection activeCell="F344" sqref="F344"/>
    </sheetView>
  </sheetViews>
  <sheetFormatPr baseColWidth="10" defaultColWidth="9" defaultRowHeight="14"/>
  <cols>
    <col min="1" max="1" width="7.5" bestFit="1" customWidth="1"/>
    <col min="2" max="2" width="32.5" bestFit="1" customWidth="1"/>
    <col min="3" max="3" width="5.5" customWidth="1"/>
    <col min="4" max="4" width="4" customWidth="1"/>
    <col min="5" max="5" width="6.5" customWidth="1"/>
    <col min="6" max="6" width="13" customWidth="1"/>
    <col min="7" max="7" width="7.83203125" customWidth="1"/>
    <col min="8" max="8" width="9" customWidth="1"/>
    <col min="9" max="9" width="8" style="3" bestFit="1" customWidth="1"/>
    <col min="10" max="10" width="11" bestFit="1" customWidth="1"/>
    <col min="11" max="11" width="6.83203125" bestFit="1" customWidth="1"/>
    <col min="12" max="12" width="18" customWidth="1"/>
    <col min="13" max="13" width="10.83203125" bestFit="1" customWidth="1"/>
    <col min="14" max="14" width="10.33203125" bestFit="1" customWidth="1"/>
    <col min="15" max="15" width="11" bestFit="1" customWidth="1"/>
    <col min="16" max="16" width="9.33203125" bestFit="1" customWidth="1"/>
    <col min="18" max="18" width="12" bestFit="1" customWidth="1"/>
  </cols>
  <sheetData>
    <row r="2" spans="1:9">
      <c r="F2" s="10">
        <v>44561</v>
      </c>
      <c r="G2" s="3" t="s">
        <v>2025</v>
      </c>
      <c r="H2" s="3" t="s">
        <v>2026</v>
      </c>
      <c r="I2" s="3" t="s">
        <v>2027</v>
      </c>
    </row>
    <row r="3" spans="1:9" ht="15">
      <c r="A3" s="542" t="s">
        <v>147</v>
      </c>
      <c r="B3" s="543" t="s">
        <v>148</v>
      </c>
      <c r="C3" s="543" t="s">
        <v>149</v>
      </c>
      <c r="D3" s="543" t="s">
        <v>150</v>
      </c>
      <c r="E3" s="543" t="s">
        <v>151</v>
      </c>
      <c r="F3" s="543" t="s">
        <v>152</v>
      </c>
      <c r="G3" s="3" t="s">
        <v>2027</v>
      </c>
      <c r="H3" s="3"/>
    </row>
    <row r="4" spans="1:9" ht="15">
      <c r="A4" s="583" t="s">
        <v>154</v>
      </c>
      <c r="B4" s="584" t="s">
        <v>155</v>
      </c>
      <c r="C4" s="584" t="s">
        <v>156</v>
      </c>
      <c r="D4" s="584" t="s">
        <v>1548</v>
      </c>
      <c r="E4" s="584" t="s">
        <v>100</v>
      </c>
      <c r="F4" s="608">
        <v>0</v>
      </c>
      <c r="G4" s="103"/>
      <c r="H4" s="103"/>
      <c r="I4" s="103"/>
    </row>
    <row r="5" spans="1:9" ht="15">
      <c r="A5" s="583" t="s">
        <v>158</v>
      </c>
      <c r="B5" s="584" t="s">
        <v>159</v>
      </c>
      <c r="C5" s="584" t="s">
        <v>156</v>
      </c>
      <c r="D5" s="584" t="s">
        <v>1548</v>
      </c>
      <c r="E5" s="584" t="s">
        <v>100</v>
      </c>
      <c r="F5" s="608">
        <v>0</v>
      </c>
      <c r="G5" s="103"/>
      <c r="H5" s="103"/>
      <c r="I5" s="103"/>
    </row>
    <row r="6" spans="1:9" ht="15">
      <c r="A6" s="583" t="s">
        <v>160</v>
      </c>
      <c r="B6" s="584" t="s">
        <v>161</v>
      </c>
      <c r="C6" s="584" t="s">
        <v>156</v>
      </c>
      <c r="D6" s="584" t="s">
        <v>1549</v>
      </c>
      <c r="E6" s="584" t="s">
        <v>100</v>
      </c>
      <c r="F6" s="608">
        <v>-8063865</v>
      </c>
      <c r="G6" s="103"/>
      <c r="H6" s="103"/>
      <c r="I6" s="103">
        <v>-8064</v>
      </c>
    </row>
    <row r="7" spans="1:9" ht="15">
      <c r="A7" s="583" t="s">
        <v>163</v>
      </c>
      <c r="B7" s="584" t="s">
        <v>164</v>
      </c>
      <c r="C7" s="584" t="s">
        <v>156</v>
      </c>
      <c r="D7" s="584" t="s">
        <v>1549</v>
      </c>
      <c r="E7" s="584" t="s">
        <v>100</v>
      </c>
      <c r="F7" s="608">
        <v>0</v>
      </c>
      <c r="G7" s="103"/>
      <c r="H7" s="103"/>
      <c r="I7" s="103"/>
    </row>
    <row r="8" spans="1:9" ht="15">
      <c r="A8" s="583" t="s">
        <v>165</v>
      </c>
      <c r="B8" s="584" t="s">
        <v>166</v>
      </c>
      <c r="C8" s="584" t="s">
        <v>156</v>
      </c>
      <c r="D8" s="584" t="s">
        <v>1549</v>
      </c>
      <c r="E8" s="584" t="s">
        <v>100</v>
      </c>
      <c r="F8" s="608">
        <v>-53942.98</v>
      </c>
      <c r="G8" s="103"/>
      <c r="H8" s="103"/>
      <c r="I8" s="103">
        <v>-54</v>
      </c>
    </row>
    <row r="9" spans="1:9" ht="15">
      <c r="A9" s="583" t="s">
        <v>167</v>
      </c>
      <c r="B9" s="584" t="s">
        <v>168</v>
      </c>
      <c r="C9" s="584" t="s">
        <v>156</v>
      </c>
      <c r="D9" s="584" t="s">
        <v>1550</v>
      </c>
      <c r="E9" s="584" t="s">
        <v>170</v>
      </c>
      <c r="F9" s="608">
        <v>-8117807.9800000004</v>
      </c>
      <c r="G9" s="103"/>
      <c r="H9" s="103"/>
      <c r="I9" s="103"/>
    </row>
    <row r="10" spans="1:9" ht="15">
      <c r="A10" s="583" t="s">
        <v>171</v>
      </c>
      <c r="B10" s="584" t="s">
        <v>172</v>
      </c>
      <c r="C10" s="584" t="s">
        <v>156</v>
      </c>
      <c r="D10" s="584" t="s">
        <v>1548</v>
      </c>
      <c r="E10" s="584" t="s">
        <v>100</v>
      </c>
      <c r="F10" s="608">
        <v>0</v>
      </c>
      <c r="G10" s="103"/>
      <c r="H10" s="103"/>
      <c r="I10" s="103"/>
    </row>
    <row r="11" spans="1:9" ht="15">
      <c r="A11" s="583" t="s">
        <v>173</v>
      </c>
      <c r="B11" s="584" t="s">
        <v>174</v>
      </c>
      <c r="C11" s="584" t="s">
        <v>156</v>
      </c>
      <c r="D11" s="584" t="s">
        <v>1549</v>
      </c>
      <c r="E11" s="584" t="s">
        <v>100</v>
      </c>
      <c r="F11" s="608">
        <v>-7804703</v>
      </c>
      <c r="G11" s="103"/>
      <c r="H11" s="103"/>
      <c r="I11" s="103">
        <v>-7805</v>
      </c>
    </row>
    <row r="12" spans="1:9" ht="15">
      <c r="A12" s="583" t="s">
        <v>175</v>
      </c>
      <c r="B12" s="584" t="s">
        <v>176</v>
      </c>
      <c r="C12" s="584" t="s">
        <v>156</v>
      </c>
      <c r="D12" s="584" t="s">
        <v>1549</v>
      </c>
      <c r="E12" s="584" t="s">
        <v>100</v>
      </c>
      <c r="F12" s="608">
        <v>-202990.94</v>
      </c>
      <c r="G12" s="103"/>
      <c r="H12" s="103"/>
      <c r="I12" s="103">
        <v>-203</v>
      </c>
    </row>
    <row r="13" spans="1:9" ht="15">
      <c r="A13" s="583" t="s">
        <v>177</v>
      </c>
      <c r="B13" s="584" t="s">
        <v>178</v>
      </c>
      <c r="C13" s="584" t="s">
        <v>156</v>
      </c>
      <c r="D13" s="584" t="s">
        <v>1549</v>
      </c>
      <c r="E13" s="584" t="s">
        <v>100</v>
      </c>
      <c r="F13" s="608">
        <v>-772235.08</v>
      </c>
      <c r="G13" s="103"/>
      <c r="H13" s="103"/>
      <c r="I13" s="103">
        <v>-772</v>
      </c>
    </row>
    <row r="14" spans="1:9" ht="15">
      <c r="A14" s="583" t="s">
        <v>179</v>
      </c>
      <c r="B14" s="584" t="s">
        <v>180</v>
      </c>
      <c r="C14" s="584" t="s">
        <v>156</v>
      </c>
      <c r="D14" s="584" t="s">
        <v>1549</v>
      </c>
      <c r="E14" s="584" t="s">
        <v>100</v>
      </c>
      <c r="F14" s="608">
        <v>755955.11</v>
      </c>
      <c r="G14" s="103"/>
      <c r="H14" s="103"/>
      <c r="I14" s="103">
        <v>756</v>
      </c>
    </row>
    <row r="15" spans="1:9" ht="15">
      <c r="A15" s="583" t="s">
        <v>181</v>
      </c>
      <c r="B15" s="584" t="s">
        <v>182</v>
      </c>
      <c r="C15" s="584" t="s">
        <v>156</v>
      </c>
      <c r="D15" s="584" t="s">
        <v>1549</v>
      </c>
      <c r="E15" s="584" t="s">
        <v>100</v>
      </c>
      <c r="F15" s="608">
        <v>6800</v>
      </c>
      <c r="G15" s="103"/>
      <c r="H15" s="103"/>
      <c r="I15" s="103">
        <v>7</v>
      </c>
    </row>
    <row r="16" spans="1:9" ht="15">
      <c r="A16" s="583" t="s">
        <v>183</v>
      </c>
      <c r="B16" s="584" t="s">
        <v>184</v>
      </c>
      <c r="C16" s="584" t="s">
        <v>156</v>
      </c>
      <c r="D16" s="584" t="s">
        <v>1549</v>
      </c>
      <c r="E16" s="584" t="s">
        <v>100</v>
      </c>
      <c r="F16" s="608">
        <v>-390559</v>
      </c>
      <c r="G16" s="103"/>
      <c r="H16" s="103"/>
      <c r="I16" s="103">
        <v>-390</v>
      </c>
    </row>
    <row r="17" spans="1:9" ht="15">
      <c r="A17" s="583" t="s">
        <v>1551</v>
      </c>
      <c r="B17" s="584" t="s">
        <v>1552</v>
      </c>
      <c r="C17" s="584" t="s">
        <v>156</v>
      </c>
      <c r="D17" s="584" t="s">
        <v>1549</v>
      </c>
      <c r="E17" s="584" t="s">
        <v>100</v>
      </c>
      <c r="F17" s="608">
        <v>0</v>
      </c>
      <c r="G17" s="103"/>
      <c r="H17" s="103"/>
      <c r="I17" s="103"/>
    </row>
    <row r="18" spans="1:9" ht="15">
      <c r="A18" s="583" t="s">
        <v>1553</v>
      </c>
      <c r="B18" s="584" t="s">
        <v>1554</v>
      </c>
      <c r="C18" s="584" t="s">
        <v>156</v>
      </c>
      <c r="D18" s="584" t="s">
        <v>1549</v>
      </c>
      <c r="E18" s="584" t="s">
        <v>100</v>
      </c>
      <c r="F18" s="608">
        <v>-462515.34</v>
      </c>
      <c r="G18" s="103"/>
      <c r="H18" s="103"/>
      <c r="I18" s="103">
        <v>-463</v>
      </c>
    </row>
    <row r="19" spans="1:9" ht="15">
      <c r="A19" s="583" t="s">
        <v>185</v>
      </c>
      <c r="B19" s="584" t="s">
        <v>186</v>
      </c>
      <c r="C19" s="584" t="s">
        <v>156</v>
      </c>
      <c r="D19" s="584" t="s">
        <v>1550</v>
      </c>
      <c r="E19" s="584" t="s">
        <v>187</v>
      </c>
      <c r="F19" s="608">
        <v>-8870248.25</v>
      </c>
      <c r="G19" s="103"/>
      <c r="H19" s="103"/>
      <c r="I19" s="103"/>
    </row>
    <row r="20" spans="1:9" ht="15">
      <c r="A20" s="583" t="s">
        <v>188</v>
      </c>
      <c r="B20" s="584" t="s">
        <v>189</v>
      </c>
      <c r="C20" s="584" t="s">
        <v>156</v>
      </c>
      <c r="D20" s="584" t="s">
        <v>1548</v>
      </c>
      <c r="E20" s="584" t="s">
        <v>100</v>
      </c>
      <c r="F20" s="608">
        <v>0</v>
      </c>
      <c r="G20" s="103"/>
      <c r="H20" s="103"/>
      <c r="I20" s="103"/>
    </row>
    <row r="21" spans="1:9" ht="15">
      <c r="A21" s="583" t="s">
        <v>190</v>
      </c>
      <c r="B21" s="584" t="s">
        <v>191</v>
      </c>
      <c r="C21" s="584" t="s">
        <v>156</v>
      </c>
      <c r="D21" s="584" t="s">
        <v>1548</v>
      </c>
      <c r="E21" s="584" t="s">
        <v>100</v>
      </c>
      <c r="F21" s="608">
        <v>0</v>
      </c>
      <c r="G21" s="103"/>
      <c r="H21" s="103"/>
      <c r="I21" s="103"/>
    </row>
    <row r="22" spans="1:9" ht="15">
      <c r="A22" s="583" t="s">
        <v>192</v>
      </c>
      <c r="B22" s="584" t="s">
        <v>193</v>
      </c>
      <c r="C22" s="584" t="s">
        <v>156</v>
      </c>
      <c r="D22" s="584" t="s">
        <v>1549</v>
      </c>
      <c r="E22" s="584" t="s">
        <v>100</v>
      </c>
      <c r="F22" s="608">
        <v>0</v>
      </c>
      <c r="G22" s="103"/>
      <c r="H22" s="103"/>
      <c r="I22" s="103"/>
    </row>
    <row r="23" spans="1:9" ht="15">
      <c r="A23" s="583" t="s">
        <v>194</v>
      </c>
      <c r="B23" s="584" t="s">
        <v>195</v>
      </c>
      <c r="C23" s="584" t="s">
        <v>156</v>
      </c>
      <c r="D23" s="584" t="s">
        <v>1550</v>
      </c>
      <c r="E23" s="584" t="s">
        <v>196</v>
      </c>
      <c r="F23" s="608">
        <v>0</v>
      </c>
      <c r="G23" s="103"/>
      <c r="H23" s="103"/>
      <c r="I23" s="103"/>
    </row>
    <row r="24" spans="1:9" ht="15">
      <c r="A24" s="583" t="s">
        <v>197</v>
      </c>
      <c r="B24" s="584" t="s">
        <v>198</v>
      </c>
      <c r="C24" s="584" t="s">
        <v>156</v>
      </c>
      <c r="D24" s="584" t="s">
        <v>1548</v>
      </c>
      <c r="E24" s="584" t="s">
        <v>100</v>
      </c>
      <c r="F24" s="608">
        <v>0</v>
      </c>
      <c r="G24" s="103"/>
      <c r="H24" s="103"/>
      <c r="I24" s="103"/>
    </row>
    <row r="25" spans="1:9" ht="15">
      <c r="A25" s="583" t="s">
        <v>199</v>
      </c>
      <c r="B25" s="584" t="s">
        <v>200</v>
      </c>
      <c r="C25" s="584" t="s">
        <v>156</v>
      </c>
      <c r="D25" s="584" t="s">
        <v>1549</v>
      </c>
      <c r="E25" s="584" t="s">
        <v>100</v>
      </c>
      <c r="F25" s="608">
        <v>-447507.39</v>
      </c>
      <c r="G25" s="103"/>
      <c r="H25" s="103"/>
      <c r="I25" s="103">
        <v>-447</v>
      </c>
    </row>
    <row r="26" spans="1:9" ht="15">
      <c r="A26" s="583" t="s">
        <v>201</v>
      </c>
      <c r="B26" s="584" t="s">
        <v>202</v>
      </c>
      <c r="C26" s="584" t="s">
        <v>156</v>
      </c>
      <c r="D26" s="584" t="s">
        <v>1549</v>
      </c>
      <c r="E26" s="584" t="s">
        <v>100</v>
      </c>
      <c r="F26" s="608">
        <v>0</v>
      </c>
      <c r="G26" s="103"/>
      <c r="H26" s="103"/>
      <c r="I26" s="103"/>
    </row>
    <row r="27" spans="1:9" ht="15">
      <c r="A27" s="583" t="s">
        <v>203</v>
      </c>
      <c r="B27" s="584" t="s">
        <v>204</v>
      </c>
      <c r="C27" s="584" t="s">
        <v>156</v>
      </c>
      <c r="D27" s="584" t="s">
        <v>1549</v>
      </c>
      <c r="E27" s="584" t="s">
        <v>100</v>
      </c>
      <c r="F27" s="608">
        <v>25453.61</v>
      </c>
      <c r="G27" s="103"/>
      <c r="H27" s="103"/>
      <c r="I27" s="103">
        <v>25</v>
      </c>
    </row>
    <row r="28" spans="1:9" ht="15">
      <c r="A28" s="583" t="s">
        <v>205</v>
      </c>
      <c r="B28" s="584" t="s">
        <v>206</v>
      </c>
      <c r="C28" s="584" t="s">
        <v>156</v>
      </c>
      <c r="D28" s="584" t="s">
        <v>1549</v>
      </c>
      <c r="E28" s="584" t="s">
        <v>100</v>
      </c>
      <c r="F28" s="608">
        <v>77617.52</v>
      </c>
      <c r="G28" s="103"/>
      <c r="H28" s="103"/>
      <c r="I28" s="103">
        <v>78</v>
      </c>
    </row>
    <row r="29" spans="1:9" ht="15">
      <c r="A29" s="583" t="s">
        <v>207</v>
      </c>
      <c r="B29" s="584" t="s">
        <v>208</v>
      </c>
      <c r="C29" s="584" t="s">
        <v>156</v>
      </c>
      <c r="D29" s="584" t="s">
        <v>1549</v>
      </c>
      <c r="E29" s="584" t="s">
        <v>100</v>
      </c>
      <c r="F29" s="608">
        <v>102162.63</v>
      </c>
      <c r="G29" s="103"/>
      <c r="H29" s="103"/>
      <c r="I29" s="103">
        <v>102</v>
      </c>
    </row>
    <row r="30" spans="1:9" ht="15">
      <c r="A30" s="583" t="s">
        <v>209</v>
      </c>
      <c r="B30" s="584" t="s">
        <v>210</v>
      </c>
      <c r="C30" s="584" t="s">
        <v>156</v>
      </c>
      <c r="D30" s="584" t="s">
        <v>1549</v>
      </c>
      <c r="E30" s="584" t="s">
        <v>100</v>
      </c>
      <c r="F30" s="608">
        <v>85984.93</v>
      </c>
      <c r="G30" s="103"/>
      <c r="H30" s="103"/>
      <c r="I30" s="103">
        <v>86</v>
      </c>
    </row>
    <row r="31" spans="1:9" ht="15">
      <c r="A31" s="583" t="s">
        <v>211</v>
      </c>
      <c r="B31" s="584" t="s">
        <v>212</v>
      </c>
      <c r="C31" s="584" t="s">
        <v>156</v>
      </c>
      <c r="D31" s="584" t="s">
        <v>1549</v>
      </c>
      <c r="E31" s="584" t="s">
        <v>100</v>
      </c>
      <c r="F31" s="608">
        <v>1024.6500000000001</v>
      </c>
      <c r="G31" s="103"/>
      <c r="H31" s="103"/>
      <c r="I31" s="103">
        <v>1</v>
      </c>
    </row>
    <row r="32" spans="1:9" ht="15">
      <c r="A32" s="583" t="s">
        <v>213</v>
      </c>
      <c r="B32" s="584" t="s">
        <v>214</v>
      </c>
      <c r="C32" s="584" t="s">
        <v>156</v>
      </c>
      <c r="D32" s="584" t="s">
        <v>1549</v>
      </c>
      <c r="E32" s="584" t="s">
        <v>100</v>
      </c>
      <c r="F32" s="608">
        <v>1238.3599999999999</v>
      </c>
      <c r="G32" s="103"/>
      <c r="H32" s="103"/>
      <c r="I32" s="103">
        <v>1</v>
      </c>
    </row>
    <row r="33" spans="1:9" ht="15">
      <c r="A33" s="583" t="s">
        <v>215</v>
      </c>
      <c r="B33" s="584" t="s">
        <v>216</v>
      </c>
      <c r="C33" s="584" t="s">
        <v>156</v>
      </c>
      <c r="D33" s="584" t="s">
        <v>1549</v>
      </c>
      <c r="E33" s="584" t="s">
        <v>100</v>
      </c>
      <c r="F33" s="608">
        <v>0</v>
      </c>
      <c r="G33" s="103"/>
      <c r="H33" s="103"/>
      <c r="I33" s="103"/>
    </row>
    <row r="34" spans="1:9" ht="15">
      <c r="A34" s="583" t="s">
        <v>217</v>
      </c>
      <c r="B34" s="584" t="s">
        <v>218</v>
      </c>
      <c r="C34" s="584" t="s">
        <v>156</v>
      </c>
      <c r="D34" s="584" t="s">
        <v>1549</v>
      </c>
      <c r="E34" s="584" t="s">
        <v>100</v>
      </c>
      <c r="F34" s="608">
        <v>3420.07</v>
      </c>
      <c r="G34" s="103"/>
      <c r="H34" s="103"/>
      <c r="I34" s="103">
        <v>3</v>
      </c>
    </row>
    <row r="35" spans="1:9" ht="15">
      <c r="A35" s="583" t="s">
        <v>219</v>
      </c>
      <c r="B35" s="584" t="s">
        <v>220</v>
      </c>
      <c r="C35" s="584" t="s">
        <v>156</v>
      </c>
      <c r="D35" s="584" t="s">
        <v>1549</v>
      </c>
      <c r="E35" s="584" t="s">
        <v>100</v>
      </c>
      <c r="F35" s="608">
        <v>32725.98</v>
      </c>
      <c r="G35" s="103"/>
      <c r="H35" s="103"/>
      <c r="I35" s="103">
        <v>33</v>
      </c>
    </row>
    <row r="36" spans="1:9" ht="15">
      <c r="A36" s="583" t="s">
        <v>221</v>
      </c>
      <c r="B36" s="584" t="s">
        <v>222</v>
      </c>
      <c r="C36" s="584" t="s">
        <v>156</v>
      </c>
      <c r="D36" s="584" t="s">
        <v>1550</v>
      </c>
      <c r="E36" s="584" t="s">
        <v>223</v>
      </c>
      <c r="F36" s="608">
        <v>-117879.64</v>
      </c>
      <c r="G36" s="103"/>
      <c r="H36" s="103"/>
      <c r="I36" s="103"/>
    </row>
    <row r="37" spans="1:9" ht="15">
      <c r="A37" s="583" t="s">
        <v>224</v>
      </c>
      <c r="B37" s="584" t="s">
        <v>225</v>
      </c>
      <c r="C37" s="584" t="s">
        <v>156</v>
      </c>
      <c r="D37" s="584" t="s">
        <v>1548</v>
      </c>
      <c r="E37" s="584" t="s">
        <v>100</v>
      </c>
      <c r="F37" s="608">
        <v>0</v>
      </c>
      <c r="G37" s="103"/>
      <c r="H37" s="103"/>
      <c r="I37" s="103"/>
    </row>
    <row r="38" spans="1:9" ht="15">
      <c r="A38" s="583" t="s">
        <v>226</v>
      </c>
      <c r="B38" s="584" t="s">
        <v>227</v>
      </c>
      <c r="C38" s="584" t="s">
        <v>156</v>
      </c>
      <c r="D38" s="584" t="s">
        <v>1549</v>
      </c>
      <c r="E38" s="584" t="s">
        <v>100</v>
      </c>
      <c r="F38" s="608">
        <v>-2584000</v>
      </c>
      <c r="G38" s="103"/>
      <c r="H38" s="103"/>
      <c r="I38" s="103">
        <v>-2584</v>
      </c>
    </row>
    <row r="39" spans="1:9" ht="15">
      <c r="A39" s="583" t="s">
        <v>228</v>
      </c>
      <c r="B39" s="584" t="s">
        <v>229</v>
      </c>
      <c r="C39" s="584" t="s">
        <v>156</v>
      </c>
      <c r="D39" s="584" t="s">
        <v>1549</v>
      </c>
      <c r="E39" s="584" t="s">
        <v>100</v>
      </c>
      <c r="F39" s="608">
        <v>151243.75</v>
      </c>
      <c r="G39" s="103"/>
      <c r="H39" s="103"/>
      <c r="I39" s="103">
        <v>151</v>
      </c>
    </row>
    <row r="40" spans="1:9" ht="15">
      <c r="A40" s="583" t="s">
        <v>230</v>
      </c>
      <c r="B40" s="584" t="s">
        <v>1555</v>
      </c>
      <c r="C40" s="584" t="s">
        <v>156</v>
      </c>
      <c r="D40" s="584" t="s">
        <v>1549</v>
      </c>
      <c r="E40" s="584" t="s">
        <v>100</v>
      </c>
      <c r="F40" s="608">
        <v>83608.789999999994</v>
      </c>
      <c r="G40" s="103"/>
      <c r="H40" s="103"/>
      <c r="I40" s="103">
        <v>84</v>
      </c>
    </row>
    <row r="41" spans="1:9" ht="15">
      <c r="A41" s="583" t="s">
        <v>232</v>
      </c>
      <c r="B41" s="584" t="s">
        <v>233</v>
      </c>
      <c r="C41" s="584" t="s">
        <v>156</v>
      </c>
      <c r="D41" s="584" t="s">
        <v>1549</v>
      </c>
      <c r="E41" s="584" t="s">
        <v>100</v>
      </c>
      <c r="F41" s="608">
        <v>252373.08</v>
      </c>
      <c r="G41" s="103"/>
      <c r="H41" s="103"/>
      <c r="I41" s="103">
        <v>252</v>
      </c>
    </row>
    <row r="42" spans="1:9" ht="15">
      <c r="A42" s="583" t="s">
        <v>234</v>
      </c>
      <c r="B42" s="584" t="s">
        <v>235</v>
      </c>
      <c r="C42" s="584" t="s">
        <v>156</v>
      </c>
      <c r="D42" s="584" t="s">
        <v>1549</v>
      </c>
      <c r="E42" s="584" t="s">
        <v>100</v>
      </c>
      <c r="F42" s="608">
        <v>-17624.5</v>
      </c>
      <c r="G42" s="103"/>
      <c r="H42" s="103"/>
      <c r="I42" s="103">
        <v>-18</v>
      </c>
    </row>
    <row r="43" spans="1:9" ht="15">
      <c r="A43" s="583" t="s">
        <v>236</v>
      </c>
      <c r="B43" s="584" t="s">
        <v>237</v>
      </c>
      <c r="C43" s="584" t="s">
        <v>156</v>
      </c>
      <c r="D43" s="584" t="s">
        <v>1549</v>
      </c>
      <c r="E43" s="584" t="s">
        <v>100</v>
      </c>
      <c r="F43" s="608">
        <v>5000</v>
      </c>
      <c r="G43" s="103"/>
      <c r="H43" s="103"/>
      <c r="I43" s="103">
        <v>5</v>
      </c>
    </row>
    <row r="44" spans="1:9" ht="15">
      <c r="A44" s="583" t="s">
        <v>238</v>
      </c>
      <c r="B44" s="584" t="s">
        <v>239</v>
      </c>
      <c r="C44" s="584" t="s">
        <v>156</v>
      </c>
      <c r="D44" s="584" t="s">
        <v>1549</v>
      </c>
      <c r="E44" s="584" t="s">
        <v>100</v>
      </c>
      <c r="F44" s="608">
        <v>2012954.9</v>
      </c>
      <c r="G44" s="103"/>
      <c r="H44" s="103"/>
      <c r="I44" s="103">
        <v>2013</v>
      </c>
    </row>
    <row r="45" spans="1:9" ht="15">
      <c r="A45" s="583" t="s">
        <v>240</v>
      </c>
      <c r="B45" s="584" t="s">
        <v>241</v>
      </c>
      <c r="C45" s="584" t="s">
        <v>156</v>
      </c>
      <c r="D45" s="584" t="s">
        <v>1550</v>
      </c>
      <c r="E45" s="584" t="s">
        <v>242</v>
      </c>
      <c r="F45" s="608">
        <v>-96443.98</v>
      </c>
      <c r="G45" s="103"/>
      <c r="H45" s="103"/>
      <c r="I45" s="103"/>
    </row>
    <row r="46" spans="1:9" ht="15">
      <c r="A46" s="583" t="s">
        <v>243</v>
      </c>
      <c r="B46" s="584" t="s">
        <v>244</v>
      </c>
      <c r="C46" s="584" t="s">
        <v>156</v>
      </c>
      <c r="D46" s="584" t="s">
        <v>1548</v>
      </c>
      <c r="E46" s="584" t="s">
        <v>100</v>
      </c>
      <c r="F46" s="608">
        <v>0</v>
      </c>
      <c r="G46" s="103"/>
      <c r="H46" s="103"/>
      <c r="I46" s="103"/>
    </row>
    <row r="47" spans="1:9" ht="15">
      <c r="A47" s="583" t="s">
        <v>245</v>
      </c>
      <c r="B47" s="584" t="s">
        <v>246</v>
      </c>
      <c r="C47" s="584" t="s">
        <v>156</v>
      </c>
      <c r="D47" s="584" t="s">
        <v>1549</v>
      </c>
      <c r="E47" s="584" t="s">
        <v>100</v>
      </c>
      <c r="F47" s="608">
        <v>-950594.47</v>
      </c>
      <c r="G47" s="103">
        <v>-5775.14</v>
      </c>
      <c r="H47" s="103">
        <v>-5</v>
      </c>
      <c r="I47" s="103">
        <f>-951+H47</f>
        <v>-956</v>
      </c>
    </row>
    <row r="48" spans="1:9" ht="15">
      <c r="A48" s="583" t="s">
        <v>247</v>
      </c>
      <c r="B48" s="584" t="s">
        <v>248</v>
      </c>
      <c r="C48" s="584" t="s">
        <v>156</v>
      </c>
      <c r="D48" s="584" t="s">
        <v>1550</v>
      </c>
      <c r="E48" s="584" t="s">
        <v>249</v>
      </c>
      <c r="F48" s="608">
        <v>-950594.47</v>
      </c>
      <c r="G48" s="103"/>
      <c r="H48" s="103"/>
      <c r="I48" s="103"/>
    </row>
    <row r="49" spans="1:9" ht="15">
      <c r="A49" s="583" t="s">
        <v>250</v>
      </c>
      <c r="B49" s="584" t="s">
        <v>251</v>
      </c>
      <c r="C49" s="584" t="s">
        <v>156</v>
      </c>
      <c r="D49" s="584" t="s">
        <v>1550</v>
      </c>
      <c r="E49" s="584" t="s">
        <v>252</v>
      </c>
      <c r="F49" s="608">
        <v>-1164918.0900000001</v>
      </c>
      <c r="G49" s="103"/>
      <c r="H49" s="103"/>
      <c r="I49" s="103"/>
    </row>
    <row r="50" spans="1:9" ht="15">
      <c r="A50" s="583" t="s">
        <v>253</v>
      </c>
      <c r="B50" s="584" t="s">
        <v>254</v>
      </c>
      <c r="C50" s="584" t="s">
        <v>156</v>
      </c>
      <c r="D50" s="584" t="s">
        <v>1548</v>
      </c>
      <c r="E50" s="584" t="s">
        <v>100</v>
      </c>
      <c r="F50" s="608">
        <v>0</v>
      </c>
      <c r="G50" s="103"/>
      <c r="H50" s="103"/>
      <c r="I50" s="103"/>
    </row>
    <row r="51" spans="1:9" ht="15">
      <c r="A51" s="583" t="s">
        <v>255</v>
      </c>
      <c r="B51" s="584" t="s">
        <v>256</v>
      </c>
      <c r="C51" s="584" t="s">
        <v>156</v>
      </c>
      <c r="D51" s="584" t="s">
        <v>1549</v>
      </c>
      <c r="E51" s="584" t="s">
        <v>100</v>
      </c>
      <c r="F51" s="608">
        <v>0</v>
      </c>
      <c r="G51" s="103"/>
      <c r="H51" s="103"/>
      <c r="I51" s="103"/>
    </row>
    <row r="52" spans="1:9" ht="15">
      <c r="A52" s="583" t="s">
        <v>257</v>
      </c>
      <c r="B52" s="584" t="s">
        <v>258</v>
      </c>
      <c r="C52" s="584" t="s">
        <v>156</v>
      </c>
      <c r="D52" s="584" t="s">
        <v>1549</v>
      </c>
      <c r="E52" s="584" t="s">
        <v>100</v>
      </c>
      <c r="F52" s="608">
        <v>0</v>
      </c>
      <c r="G52" s="103"/>
      <c r="H52" s="103"/>
      <c r="I52" s="103"/>
    </row>
    <row r="53" spans="1:9" ht="15">
      <c r="A53" s="583" t="s">
        <v>259</v>
      </c>
      <c r="B53" s="584" t="s">
        <v>260</v>
      </c>
      <c r="C53" s="584" t="s">
        <v>156</v>
      </c>
      <c r="D53" s="584" t="s">
        <v>1549</v>
      </c>
      <c r="E53" s="584" t="s">
        <v>100</v>
      </c>
      <c r="F53" s="608">
        <v>0</v>
      </c>
      <c r="G53" s="103"/>
      <c r="H53" s="103"/>
      <c r="I53" s="103"/>
    </row>
    <row r="54" spans="1:9" ht="15">
      <c r="A54" s="583" t="s">
        <v>261</v>
      </c>
      <c r="B54" s="584" t="s">
        <v>262</v>
      </c>
      <c r="C54" s="584" t="s">
        <v>156</v>
      </c>
      <c r="D54" s="584" t="s">
        <v>1549</v>
      </c>
      <c r="E54" s="584" t="s">
        <v>100</v>
      </c>
      <c r="F54" s="608">
        <v>0</v>
      </c>
      <c r="G54" s="103"/>
      <c r="H54" s="103"/>
      <c r="I54" s="103"/>
    </row>
    <row r="55" spans="1:9" ht="15">
      <c r="A55" s="583" t="s">
        <v>263</v>
      </c>
      <c r="B55" s="584" t="s">
        <v>264</v>
      </c>
      <c r="C55" s="584" t="s">
        <v>156</v>
      </c>
      <c r="D55" s="584" t="s">
        <v>1549</v>
      </c>
      <c r="E55" s="584" t="s">
        <v>100</v>
      </c>
      <c r="F55" s="608">
        <v>0</v>
      </c>
      <c r="G55" s="103"/>
      <c r="H55" s="103"/>
      <c r="I55" s="103"/>
    </row>
    <row r="56" spans="1:9" ht="15">
      <c r="A56" s="583" t="s">
        <v>265</v>
      </c>
      <c r="B56" s="584" t="s">
        <v>266</v>
      </c>
      <c r="C56" s="584" t="s">
        <v>156</v>
      </c>
      <c r="D56" s="584" t="s">
        <v>1549</v>
      </c>
      <c r="E56" s="584" t="s">
        <v>100</v>
      </c>
      <c r="F56" s="608">
        <v>22969.040000000001</v>
      </c>
      <c r="G56" s="103"/>
      <c r="H56" s="103"/>
      <c r="I56" s="103">
        <v>23</v>
      </c>
    </row>
    <row r="57" spans="1:9" ht="15">
      <c r="A57" s="583" t="s">
        <v>267</v>
      </c>
      <c r="B57" s="584" t="s">
        <v>268</v>
      </c>
      <c r="C57" s="584" t="s">
        <v>156</v>
      </c>
      <c r="D57" s="584" t="s">
        <v>1549</v>
      </c>
      <c r="E57" s="584" t="s">
        <v>100</v>
      </c>
      <c r="F57" s="608">
        <v>0</v>
      </c>
      <c r="G57" s="103"/>
      <c r="H57" s="103"/>
      <c r="I57" s="103"/>
    </row>
    <row r="58" spans="1:9" ht="15">
      <c r="A58" s="583" t="s">
        <v>269</v>
      </c>
      <c r="B58" s="584" t="s">
        <v>270</v>
      </c>
      <c r="C58" s="584" t="s">
        <v>156</v>
      </c>
      <c r="D58" s="584" t="s">
        <v>1549</v>
      </c>
      <c r="E58" s="584" t="s">
        <v>100</v>
      </c>
      <c r="F58" s="608">
        <v>-33664</v>
      </c>
      <c r="G58" s="103"/>
      <c r="H58" s="103"/>
      <c r="I58" s="103">
        <v>-34</v>
      </c>
    </row>
    <row r="59" spans="1:9" ht="15">
      <c r="A59" s="583" t="s">
        <v>271</v>
      </c>
      <c r="B59" s="584" t="s">
        <v>272</v>
      </c>
      <c r="C59" s="584" t="s">
        <v>156</v>
      </c>
      <c r="D59" s="584" t="s">
        <v>1549</v>
      </c>
      <c r="E59" s="584" t="s">
        <v>100</v>
      </c>
      <c r="F59" s="608">
        <v>0</v>
      </c>
      <c r="G59" s="103"/>
      <c r="H59" s="103"/>
      <c r="I59" s="103"/>
    </row>
    <row r="60" spans="1:9" ht="15">
      <c r="A60" s="583" t="s">
        <v>273</v>
      </c>
      <c r="B60" s="584" t="s">
        <v>274</v>
      </c>
      <c r="C60" s="584" t="s">
        <v>156</v>
      </c>
      <c r="D60" s="584" t="s">
        <v>1549</v>
      </c>
      <c r="E60" s="584" t="s">
        <v>100</v>
      </c>
      <c r="F60" s="608">
        <v>0</v>
      </c>
      <c r="G60" s="103"/>
      <c r="H60" s="103"/>
      <c r="I60" s="103"/>
    </row>
    <row r="61" spans="1:9" ht="15">
      <c r="A61" s="583" t="s">
        <v>275</v>
      </c>
      <c r="B61" s="584" t="s">
        <v>254</v>
      </c>
      <c r="C61" s="584" t="s">
        <v>156</v>
      </c>
      <c r="D61" s="584" t="s">
        <v>1550</v>
      </c>
      <c r="E61" s="584" t="s">
        <v>276</v>
      </c>
      <c r="F61" s="608">
        <v>-10694.96</v>
      </c>
      <c r="G61" s="103"/>
      <c r="H61" s="103"/>
      <c r="I61" s="103"/>
    </row>
    <row r="62" spans="1:9" ht="15">
      <c r="A62" s="583" t="s">
        <v>277</v>
      </c>
      <c r="B62" s="584" t="s">
        <v>278</v>
      </c>
      <c r="C62" s="584" t="s">
        <v>156</v>
      </c>
      <c r="D62" s="584" t="s">
        <v>1550</v>
      </c>
      <c r="E62" s="584" t="s">
        <v>279</v>
      </c>
      <c r="F62" s="608">
        <v>-18163669.280000001</v>
      </c>
      <c r="G62" s="103"/>
      <c r="H62" s="103"/>
      <c r="I62" s="103"/>
    </row>
    <row r="63" spans="1:9" ht="15">
      <c r="A63" s="583" t="s">
        <v>280</v>
      </c>
      <c r="B63" s="584" t="s">
        <v>281</v>
      </c>
      <c r="C63" s="584" t="s">
        <v>156</v>
      </c>
      <c r="D63" s="584" t="s">
        <v>1548</v>
      </c>
      <c r="E63" s="584" t="s">
        <v>100</v>
      </c>
      <c r="F63" s="608">
        <v>0</v>
      </c>
      <c r="G63" s="103"/>
      <c r="H63" s="103"/>
      <c r="I63" s="103"/>
    </row>
    <row r="64" spans="1:9" ht="15">
      <c r="A64" s="583" t="s">
        <v>282</v>
      </c>
      <c r="B64" s="584" t="s">
        <v>281</v>
      </c>
      <c r="C64" s="584" t="s">
        <v>156</v>
      </c>
      <c r="D64" s="584" t="s">
        <v>1548</v>
      </c>
      <c r="E64" s="584" t="s">
        <v>100</v>
      </c>
      <c r="F64" s="608">
        <v>0</v>
      </c>
      <c r="G64" s="103"/>
      <c r="H64" s="103"/>
      <c r="I64" s="103"/>
    </row>
    <row r="65" spans="1:9" ht="15">
      <c r="A65" s="583" t="s">
        <v>283</v>
      </c>
      <c r="B65" s="584" t="s">
        <v>284</v>
      </c>
      <c r="C65" s="584" t="s">
        <v>156</v>
      </c>
      <c r="D65" s="584" t="s">
        <v>1548</v>
      </c>
      <c r="E65" s="584" t="s">
        <v>100</v>
      </c>
      <c r="F65" s="608">
        <v>0</v>
      </c>
      <c r="G65" s="103"/>
      <c r="H65" s="103"/>
      <c r="I65" s="103"/>
    </row>
    <row r="66" spans="1:9" ht="15">
      <c r="A66" s="583" t="s">
        <v>285</v>
      </c>
      <c r="B66" s="584" t="s">
        <v>286</v>
      </c>
      <c r="C66" s="584" t="s">
        <v>156</v>
      </c>
      <c r="D66" s="584" t="s">
        <v>1548</v>
      </c>
      <c r="E66" s="584" t="s">
        <v>100</v>
      </c>
      <c r="F66" s="608">
        <v>0</v>
      </c>
      <c r="G66" s="103"/>
      <c r="H66" s="103"/>
      <c r="I66" s="103"/>
    </row>
    <row r="67" spans="1:9" ht="15">
      <c r="A67" s="583" t="s">
        <v>287</v>
      </c>
      <c r="B67" s="584" t="s">
        <v>288</v>
      </c>
      <c r="C67" s="584" t="s">
        <v>156</v>
      </c>
      <c r="D67" s="584" t="s">
        <v>1549</v>
      </c>
      <c r="E67" s="584" t="s">
        <v>100</v>
      </c>
      <c r="F67" s="608">
        <v>8952920.8300000001</v>
      </c>
      <c r="G67" s="103"/>
      <c r="H67" s="103"/>
      <c r="I67" s="103">
        <v>8953</v>
      </c>
    </row>
    <row r="68" spans="1:9" ht="15">
      <c r="A68" s="583" t="s">
        <v>289</v>
      </c>
      <c r="B68" s="584" t="s">
        <v>1557</v>
      </c>
      <c r="C68" s="584" t="s">
        <v>156</v>
      </c>
      <c r="D68" s="584" t="s">
        <v>1549</v>
      </c>
      <c r="E68" s="584" t="s">
        <v>100</v>
      </c>
      <c r="F68" s="608">
        <v>141023.88</v>
      </c>
      <c r="G68" s="103"/>
      <c r="H68" s="103"/>
      <c r="I68" s="103">
        <v>141</v>
      </c>
    </row>
    <row r="69" spans="1:9" ht="15">
      <c r="A69" s="583" t="s">
        <v>291</v>
      </c>
      <c r="B69" s="584" t="s">
        <v>292</v>
      </c>
      <c r="C69" s="584" t="s">
        <v>156</v>
      </c>
      <c r="D69" s="584" t="s">
        <v>1549</v>
      </c>
      <c r="E69" s="584" t="s">
        <v>100</v>
      </c>
      <c r="F69" s="608">
        <v>0</v>
      </c>
      <c r="G69" s="103"/>
      <c r="H69" s="103"/>
      <c r="I69" s="103"/>
    </row>
    <row r="70" spans="1:9" ht="15">
      <c r="A70" s="583" t="s">
        <v>293</v>
      </c>
      <c r="B70" s="584" t="s">
        <v>294</v>
      </c>
      <c r="C70" s="584" t="s">
        <v>156</v>
      </c>
      <c r="D70" s="584" t="s">
        <v>1549</v>
      </c>
      <c r="E70" s="584" t="s">
        <v>100</v>
      </c>
      <c r="F70" s="608">
        <v>-423563.13</v>
      </c>
      <c r="G70" s="103"/>
      <c r="H70" s="103"/>
      <c r="I70" s="103">
        <v>-424</v>
      </c>
    </row>
    <row r="71" spans="1:9" ht="15">
      <c r="A71" s="583" t="s">
        <v>295</v>
      </c>
      <c r="B71" s="584" t="s">
        <v>296</v>
      </c>
      <c r="C71" s="584" t="s">
        <v>156</v>
      </c>
      <c r="D71" s="584" t="s">
        <v>1549</v>
      </c>
      <c r="E71" s="584" t="s">
        <v>100</v>
      </c>
      <c r="F71" s="608">
        <v>475908.77</v>
      </c>
      <c r="G71" s="103"/>
      <c r="H71" s="103"/>
      <c r="I71" s="103">
        <v>476</v>
      </c>
    </row>
    <row r="72" spans="1:9" ht="15">
      <c r="A72" s="583" t="s">
        <v>297</v>
      </c>
      <c r="B72" s="584" t="s">
        <v>298</v>
      </c>
      <c r="C72" s="584" t="s">
        <v>156</v>
      </c>
      <c r="D72" s="584" t="s">
        <v>1549</v>
      </c>
      <c r="E72" s="584" t="s">
        <v>100</v>
      </c>
      <c r="F72" s="608">
        <v>1081463.74</v>
      </c>
      <c r="G72" s="103"/>
      <c r="H72" s="103"/>
      <c r="I72" s="103">
        <v>1082</v>
      </c>
    </row>
    <row r="73" spans="1:9" ht="15">
      <c r="A73" s="583" t="s">
        <v>299</v>
      </c>
      <c r="B73" s="584" t="s">
        <v>300</v>
      </c>
      <c r="C73" s="584" t="s">
        <v>156</v>
      </c>
      <c r="D73" s="584" t="s">
        <v>1549</v>
      </c>
      <c r="E73" s="584" t="s">
        <v>100</v>
      </c>
      <c r="F73" s="608">
        <v>126241.31</v>
      </c>
      <c r="G73" s="103"/>
      <c r="H73" s="103"/>
      <c r="I73" s="103">
        <v>126</v>
      </c>
    </row>
    <row r="74" spans="1:9" ht="15">
      <c r="A74" s="583" t="s">
        <v>301</v>
      </c>
      <c r="B74" s="584" t="s">
        <v>302</v>
      </c>
      <c r="C74" s="584" t="s">
        <v>156</v>
      </c>
      <c r="D74" s="584" t="s">
        <v>1549</v>
      </c>
      <c r="E74" s="584" t="s">
        <v>100</v>
      </c>
      <c r="F74" s="608">
        <v>-209105.48</v>
      </c>
      <c r="G74" s="103"/>
      <c r="H74" s="103"/>
      <c r="I74" s="103">
        <v>-209</v>
      </c>
    </row>
    <row r="75" spans="1:9" ht="15">
      <c r="A75" s="583" t="s">
        <v>303</v>
      </c>
      <c r="B75" s="584" t="s">
        <v>304</v>
      </c>
      <c r="C75" s="584" t="s">
        <v>156</v>
      </c>
      <c r="D75" s="584" t="s">
        <v>1549</v>
      </c>
      <c r="E75" s="584" t="s">
        <v>100</v>
      </c>
      <c r="F75" s="608">
        <v>-1547463.27</v>
      </c>
      <c r="G75" s="103"/>
      <c r="H75" s="103"/>
      <c r="I75" s="103">
        <v>-1547</v>
      </c>
    </row>
    <row r="76" spans="1:9" ht="15">
      <c r="A76" s="583" t="s">
        <v>305</v>
      </c>
      <c r="B76" s="584" t="s">
        <v>306</v>
      </c>
      <c r="C76" s="584" t="s">
        <v>156</v>
      </c>
      <c r="D76" s="584" t="s">
        <v>1549</v>
      </c>
      <c r="E76" s="584" t="s">
        <v>100</v>
      </c>
      <c r="F76" s="608">
        <v>74221.320000000007</v>
      </c>
      <c r="G76" s="103"/>
      <c r="H76" s="103"/>
      <c r="I76" s="103">
        <v>74</v>
      </c>
    </row>
    <row r="77" spans="1:9" ht="15">
      <c r="A77" s="583" t="s">
        <v>307</v>
      </c>
      <c r="B77" s="584" t="s">
        <v>308</v>
      </c>
      <c r="C77" s="584" t="s">
        <v>156</v>
      </c>
      <c r="D77" s="584" t="s">
        <v>1549</v>
      </c>
      <c r="E77" s="584" t="s">
        <v>100</v>
      </c>
      <c r="F77" s="608">
        <v>-8021</v>
      </c>
      <c r="G77" s="103"/>
      <c r="H77" s="103"/>
      <c r="I77" s="103">
        <v>-8</v>
      </c>
    </row>
    <row r="78" spans="1:9" ht="15">
      <c r="A78" s="583" t="s">
        <v>309</v>
      </c>
      <c r="B78" s="584" t="s">
        <v>1558</v>
      </c>
      <c r="C78" s="584" t="s">
        <v>156</v>
      </c>
      <c r="D78" s="584" t="s">
        <v>1549</v>
      </c>
      <c r="E78" s="584" t="s">
        <v>100</v>
      </c>
      <c r="F78" s="608">
        <v>77202.42</v>
      </c>
      <c r="G78" s="103"/>
      <c r="H78" s="103"/>
      <c r="I78" s="103">
        <v>77</v>
      </c>
    </row>
    <row r="79" spans="1:9" ht="15">
      <c r="A79" s="583" t="s">
        <v>311</v>
      </c>
      <c r="B79" s="584" t="s">
        <v>312</v>
      </c>
      <c r="C79" s="584" t="s">
        <v>156</v>
      </c>
      <c r="D79" s="584" t="s">
        <v>1550</v>
      </c>
      <c r="E79" s="584" t="s">
        <v>313</v>
      </c>
      <c r="F79" s="608">
        <v>8740829.3900000006</v>
      </c>
      <c r="G79" s="103"/>
      <c r="H79" s="103"/>
      <c r="I79" s="103"/>
    </row>
    <row r="80" spans="1:9" ht="15">
      <c r="A80" s="583" t="s">
        <v>314</v>
      </c>
      <c r="B80" s="584" t="s">
        <v>315</v>
      </c>
      <c r="C80" s="584" t="s">
        <v>156</v>
      </c>
      <c r="D80" s="584" t="s">
        <v>1548</v>
      </c>
      <c r="E80" s="584" t="s">
        <v>100</v>
      </c>
      <c r="F80" s="608">
        <v>0</v>
      </c>
      <c r="G80" s="103"/>
      <c r="H80" s="103"/>
      <c r="I80" s="103"/>
    </row>
    <row r="81" spans="1:9" ht="15">
      <c r="A81" s="583" t="s">
        <v>316</v>
      </c>
      <c r="B81" s="584" t="s">
        <v>317</v>
      </c>
      <c r="C81" s="584" t="s">
        <v>156</v>
      </c>
      <c r="D81" s="584" t="s">
        <v>1549</v>
      </c>
      <c r="E81" s="584" t="s">
        <v>100</v>
      </c>
      <c r="F81" s="608">
        <v>241758.06</v>
      </c>
      <c r="G81" s="103"/>
      <c r="H81" s="103"/>
      <c r="I81" s="103">
        <v>242</v>
      </c>
    </row>
    <row r="82" spans="1:9" ht="15">
      <c r="A82" s="583" t="s">
        <v>318</v>
      </c>
      <c r="B82" s="584" t="s">
        <v>319</v>
      </c>
      <c r="C82" s="584" t="s">
        <v>156</v>
      </c>
      <c r="D82" s="584" t="s">
        <v>1549</v>
      </c>
      <c r="E82" s="584" t="s">
        <v>100</v>
      </c>
      <c r="F82" s="608">
        <v>-9674.7999999999993</v>
      </c>
      <c r="G82" s="103"/>
      <c r="H82" s="103"/>
      <c r="I82" s="103">
        <v>-10</v>
      </c>
    </row>
    <row r="83" spans="1:9" ht="15">
      <c r="A83" s="583" t="s">
        <v>320</v>
      </c>
      <c r="B83" s="584" t="s">
        <v>321</v>
      </c>
      <c r="C83" s="584" t="s">
        <v>156</v>
      </c>
      <c r="D83" s="584" t="s">
        <v>1549</v>
      </c>
      <c r="E83" s="584" t="s">
        <v>100</v>
      </c>
      <c r="F83" s="608">
        <v>103662.48</v>
      </c>
      <c r="G83" s="103"/>
      <c r="H83" s="103"/>
      <c r="I83" s="103">
        <v>103</v>
      </c>
    </row>
    <row r="84" spans="1:9" ht="15">
      <c r="A84" s="583" t="s">
        <v>322</v>
      </c>
      <c r="B84" s="584" t="s">
        <v>323</v>
      </c>
      <c r="C84" s="584" t="s">
        <v>156</v>
      </c>
      <c r="D84" s="584" t="s">
        <v>1549</v>
      </c>
      <c r="E84" s="584" t="s">
        <v>100</v>
      </c>
      <c r="F84" s="608">
        <v>30723.35</v>
      </c>
      <c r="G84" s="103"/>
      <c r="H84" s="103"/>
      <c r="I84" s="103">
        <v>31</v>
      </c>
    </row>
    <row r="85" spans="1:9" ht="15">
      <c r="A85" s="583" t="s">
        <v>324</v>
      </c>
      <c r="B85" s="584" t="s">
        <v>325</v>
      </c>
      <c r="C85" s="584" t="s">
        <v>156</v>
      </c>
      <c r="D85" s="584" t="s">
        <v>1549</v>
      </c>
      <c r="E85" s="584" t="s">
        <v>100</v>
      </c>
      <c r="F85" s="608">
        <v>16529.009999999998</v>
      </c>
      <c r="G85" s="103"/>
      <c r="H85" s="103"/>
      <c r="I85" s="103">
        <v>17</v>
      </c>
    </row>
    <row r="86" spans="1:9" ht="15">
      <c r="A86" s="583" t="s">
        <v>326</v>
      </c>
      <c r="B86" s="584" t="s">
        <v>327</v>
      </c>
      <c r="C86" s="584" t="s">
        <v>156</v>
      </c>
      <c r="D86" s="584" t="s">
        <v>1549</v>
      </c>
      <c r="E86" s="584" t="s">
        <v>100</v>
      </c>
      <c r="F86" s="608">
        <v>0</v>
      </c>
      <c r="G86" s="103"/>
      <c r="H86" s="103"/>
      <c r="I86" s="103"/>
    </row>
    <row r="87" spans="1:9" ht="15">
      <c r="A87" s="583" t="s">
        <v>328</v>
      </c>
      <c r="B87" s="584" t="s">
        <v>329</v>
      </c>
      <c r="C87" s="584" t="s">
        <v>156</v>
      </c>
      <c r="D87" s="584" t="s">
        <v>1550</v>
      </c>
      <c r="E87" s="584" t="s">
        <v>330</v>
      </c>
      <c r="F87" s="608">
        <v>382998.1</v>
      </c>
      <c r="G87" s="103"/>
      <c r="H87" s="103"/>
      <c r="I87" s="103"/>
    </row>
    <row r="88" spans="1:9" ht="15">
      <c r="A88" s="583" t="s">
        <v>331</v>
      </c>
      <c r="B88" s="584" t="s">
        <v>332</v>
      </c>
      <c r="C88" s="584" t="s">
        <v>156</v>
      </c>
      <c r="D88" s="584" t="s">
        <v>1548</v>
      </c>
      <c r="E88" s="584" t="s">
        <v>100</v>
      </c>
      <c r="F88" s="608">
        <v>0</v>
      </c>
      <c r="G88" s="103"/>
      <c r="H88" s="103"/>
      <c r="I88" s="103"/>
    </row>
    <row r="89" spans="1:9" ht="15">
      <c r="A89" s="583" t="s">
        <v>333</v>
      </c>
      <c r="B89" s="584" t="s">
        <v>334</v>
      </c>
      <c r="C89" s="584" t="s">
        <v>156</v>
      </c>
      <c r="D89" s="584" t="s">
        <v>1549</v>
      </c>
      <c r="E89" s="584" t="s">
        <v>100</v>
      </c>
      <c r="F89" s="608">
        <v>244717.83</v>
      </c>
      <c r="G89" s="103"/>
      <c r="H89" s="103"/>
      <c r="I89" s="103">
        <v>245</v>
      </c>
    </row>
    <row r="90" spans="1:9" ht="15">
      <c r="A90" s="583" t="s">
        <v>335</v>
      </c>
      <c r="B90" s="584" t="s">
        <v>336</v>
      </c>
      <c r="C90" s="584" t="s">
        <v>156</v>
      </c>
      <c r="D90" s="584" t="s">
        <v>1549</v>
      </c>
      <c r="E90" s="584" t="s">
        <v>100</v>
      </c>
      <c r="F90" s="608">
        <v>117372.91</v>
      </c>
      <c r="G90" s="103">
        <v>2419.64</v>
      </c>
      <c r="H90" s="103">
        <v>3</v>
      </c>
      <c r="I90" s="103">
        <f>117+H90</f>
        <v>120</v>
      </c>
    </row>
    <row r="91" spans="1:9" ht="15">
      <c r="A91" s="583" t="s">
        <v>337</v>
      </c>
      <c r="B91" s="584" t="s">
        <v>338</v>
      </c>
      <c r="C91" s="584" t="s">
        <v>156</v>
      </c>
      <c r="D91" s="584" t="s">
        <v>1550</v>
      </c>
      <c r="E91" s="584" t="s">
        <v>339</v>
      </c>
      <c r="F91" s="608">
        <v>362090.74</v>
      </c>
      <c r="G91" s="103"/>
      <c r="H91" s="103"/>
      <c r="I91" s="103"/>
    </row>
    <row r="92" spans="1:9" ht="15">
      <c r="A92" s="583" t="s">
        <v>340</v>
      </c>
      <c r="B92" s="584" t="s">
        <v>341</v>
      </c>
      <c r="C92" s="584" t="s">
        <v>156</v>
      </c>
      <c r="D92" s="584" t="s">
        <v>1550</v>
      </c>
      <c r="E92" s="584" t="s">
        <v>342</v>
      </c>
      <c r="F92" s="608">
        <v>9485918.2300000004</v>
      </c>
      <c r="G92" s="103"/>
      <c r="H92" s="103"/>
      <c r="I92" s="103"/>
    </row>
    <row r="93" spans="1:9" ht="15">
      <c r="A93" s="583" t="s">
        <v>343</v>
      </c>
      <c r="B93" s="584" t="s">
        <v>344</v>
      </c>
      <c r="C93" s="584" t="s">
        <v>156</v>
      </c>
      <c r="D93" s="584" t="s">
        <v>1548</v>
      </c>
      <c r="E93" s="584" t="s">
        <v>100</v>
      </c>
      <c r="F93" s="608">
        <v>0</v>
      </c>
      <c r="G93" s="103"/>
      <c r="H93" s="103"/>
      <c r="I93" s="103"/>
    </row>
    <row r="94" spans="1:9" ht="15">
      <c r="A94" s="583" t="s">
        <v>345</v>
      </c>
      <c r="B94" s="584" t="s">
        <v>346</v>
      </c>
      <c r="C94" s="584" t="s">
        <v>156</v>
      </c>
      <c r="D94" s="584" t="s">
        <v>1549</v>
      </c>
      <c r="E94" s="584" t="s">
        <v>100</v>
      </c>
      <c r="F94" s="608">
        <v>50218.27</v>
      </c>
      <c r="G94" s="103"/>
      <c r="H94" s="103"/>
      <c r="I94" s="103">
        <v>50</v>
      </c>
    </row>
    <row r="95" spans="1:9" ht="15">
      <c r="A95" s="583" t="s">
        <v>347</v>
      </c>
      <c r="B95" s="584" t="s">
        <v>348</v>
      </c>
      <c r="C95" s="584" t="s">
        <v>156</v>
      </c>
      <c r="D95" s="584" t="s">
        <v>1549</v>
      </c>
      <c r="E95" s="584" t="s">
        <v>100</v>
      </c>
      <c r="F95" s="608">
        <v>49508.03</v>
      </c>
      <c r="G95" s="103"/>
      <c r="H95" s="103"/>
      <c r="I95" s="103">
        <v>50</v>
      </c>
    </row>
    <row r="96" spans="1:9" ht="15">
      <c r="A96" s="583" t="s">
        <v>349</v>
      </c>
      <c r="B96" s="584" t="s">
        <v>350</v>
      </c>
      <c r="C96" s="584" t="s">
        <v>156</v>
      </c>
      <c r="D96" s="584" t="s">
        <v>1549</v>
      </c>
      <c r="E96" s="584" t="s">
        <v>100</v>
      </c>
      <c r="F96" s="608">
        <v>0</v>
      </c>
      <c r="G96" s="103"/>
      <c r="H96" s="103"/>
      <c r="I96" s="103"/>
    </row>
    <row r="97" spans="1:9" ht="15">
      <c r="A97" s="583" t="s">
        <v>351</v>
      </c>
      <c r="B97" s="584" t="s">
        <v>352</v>
      </c>
      <c r="C97" s="584" t="s">
        <v>156</v>
      </c>
      <c r="D97" s="584" t="s">
        <v>1549</v>
      </c>
      <c r="E97" s="584" t="s">
        <v>100</v>
      </c>
      <c r="F97" s="608">
        <v>0</v>
      </c>
      <c r="G97" s="103"/>
      <c r="H97" s="103"/>
      <c r="I97" s="103"/>
    </row>
    <row r="98" spans="1:9" ht="15">
      <c r="A98" s="583" t="s">
        <v>353</v>
      </c>
      <c r="B98" s="584" t="s">
        <v>1527</v>
      </c>
      <c r="C98" s="584" t="s">
        <v>156</v>
      </c>
      <c r="D98" s="584" t="s">
        <v>1549</v>
      </c>
      <c r="E98" s="584" t="s">
        <v>100</v>
      </c>
      <c r="F98" s="608">
        <v>884163.88</v>
      </c>
      <c r="G98" s="103"/>
      <c r="H98" s="103"/>
      <c r="I98" s="103">
        <v>884</v>
      </c>
    </row>
    <row r="99" spans="1:9" ht="15">
      <c r="A99" s="583" t="s">
        <v>355</v>
      </c>
      <c r="B99" s="584" t="s">
        <v>1563</v>
      </c>
      <c r="C99" s="584" t="s">
        <v>156</v>
      </c>
      <c r="D99" s="584" t="s">
        <v>1549</v>
      </c>
      <c r="E99" s="584" t="s">
        <v>100</v>
      </c>
      <c r="F99" s="608">
        <v>53086.25</v>
      </c>
      <c r="G99" s="103"/>
      <c r="H99" s="103"/>
      <c r="I99" s="103">
        <v>53</v>
      </c>
    </row>
    <row r="100" spans="1:9" ht="15">
      <c r="A100" s="583" t="s">
        <v>357</v>
      </c>
      <c r="B100" s="584" t="s">
        <v>1564</v>
      </c>
      <c r="C100" s="584" t="s">
        <v>156</v>
      </c>
      <c r="D100" s="584" t="s">
        <v>1549</v>
      </c>
      <c r="E100" s="584" t="s">
        <v>100</v>
      </c>
      <c r="F100" s="608">
        <v>0</v>
      </c>
      <c r="G100" s="103"/>
      <c r="H100" s="103"/>
      <c r="I100" s="103"/>
    </row>
    <row r="101" spans="1:9" ht="15">
      <c r="A101" s="583" t="s">
        <v>359</v>
      </c>
      <c r="B101" s="584" t="s">
        <v>360</v>
      </c>
      <c r="C101" s="584" t="s">
        <v>156</v>
      </c>
      <c r="D101" s="584" t="s">
        <v>1549</v>
      </c>
      <c r="E101" s="584" t="s">
        <v>100</v>
      </c>
      <c r="F101" s="608">
        <v>8899.9</v>
      </c>
      <c r="G101" s="103"/>
      <c r="H101" s="103"/>
      <c r="I101" s="103">
        <v>9</v>
      </c>
    </row>
    <row r="102" spans="1:9" ht="15">
      <c r="A102" s="583" t="s">
        <v>361</v>
      </c>
      <c r="B102" s="584" t="s">
        <v>362</v>
      </c>
      <c r="C102" s="584" t="s">
        <v>156</v>
      </c>
      <c r="D102" s="584" t="s">
        <v>1549</v>
      </c>
      <c r="E102" s="584" t="s">
        <v>100</v>
      </c>
      <c r="F102" s="608">
        <v>0</v>
      </c>
      <c r="G102" s="103"/>
      <c r="H102" s="103"/>
      <c r="I102" s="103"/>
    </row>
    <row r="103" spans="1:9" ht="15">
      <c r="A103" s="583" t="s">
        <v>363</v>
      </c>
      <c r="B103" s="584" t="s">
        <v>364</v>
      </c>
      <c r="C103" s="584" t="s">
        <v>156</v>
      </c>
      <c r="D103" s="584" t="s">
        <v>1549</v>
      </c>
      <c r="E103" s="584" t="s">
        <v>100</v>
      </c>
      <c r="F103" s="608">
        <v>0</v>
      </c>
      <c r="G103" s="103"/>
      <c r="H103" s="103"/>
      <c r="I103" s="103"/>
    </row>
    <row r="104" spans="1:9" ht="15">
      <c r="A104" s="583" t="s">
        <v>365</v>
      </c>
      <c r="B104" s="584" t="s">
        <v>1565</v>
      </c>
      <c r="C104" s="584" t="s">
        <v>156</v>
      </c>
      <c r="D104" s="584" t="s">
        <v>1549</v>
      </c>
      <c r="E104" s="584" t="s">
        <v>100</v>
      </c>
      <c r="F104" s="608">
        <v>0</v>
      </c>
      <c r="G104" s="103"/>
      <c r="H104" s="103"/>
      <c r="I104" s="103"/>
    </row>
    <row r="105" spans="1:9" ht="15">
      <c r="A105" s="583" t="s">
        <v>367</v>
      </c>
      <c r="B105" s="584" t="s">
        <v>368</v>
      </c>
      <c r="C105" s="584" t="s">
        <v>156</v>
      </c>
      <c r="D105" s="584" t="s">
        <v>1550</v>
      </c>
      <c r="E105" s="584" t="s">
        <v>369</v>
      </c>
      <c r="F105" s="608">
        <v>1045876.33</v>
      </c>
      <c r="G105" s="103"/>
      <c r="H105" s="103"/>
      <c r="I105" s="103"/>
    </row>
    <row r="106" spans="1:9" ht="15">
      <c r="A106" s="583" t="s">
        <v>370</v>
      </c>
      <c r="B106" s="584" t="s">
        <v>371</v>
      </c>
      <c r="C106" s="584" t="s">
        <v>156</v>
      </c>
      <c r="D106" s="584" t="s">
        <v>1548</v>
      </c>
      <c r="E106" s="584" t="s">
        <v>100</v>
      </c>
      <c r="F106" s="608">
        <v>0</v>
      </c>
      <c r="G106" s="103"/>
      <c r="H106" s="103"/>
      <c r="I106" s="103"/>
    </row>
    <row r="107" spans="1:9" ht="15">
      <c r="A107" s="583" t="s">
        <v>372</v>
      </c>
      <c r="B107" s="584" t="s">
        <v>373</v>
      </c>
      <c r="C107" s="584" t="s">
        <v>156</v>
      </c>
      <c r="D107" s="584" t="s">
        <v>1548</v>
      </c>
      <c r="E107" s="584" t="s">
        <v>100</v>
      </c>
      <c r="F107" s="608">
        <v>0</v>
      </c>
      <c r="G107" s="103"/>
      <c r="H107" s="103"/>
      <c r="I107" s="103"/>
    </row>
    <row r="108" spans="1:9" ht="15">
      <c r="A108" s="583" t="s">
        <v>374</v>
      </c>
      <c r="B108" s="584" t="s">
        <v>375</v>
      </c>
      <c r="C108" s="584" t="s">
        <v>156</v>
      </c>
      <c r="D108" s="584" t="s">
        <v>1549</v>
      </c>
      <c r="E108" s="584" t="s">
        <v>100</v>
      </c>
      <c r="F108" s="608">
        <v>317519.62</v>
      </c>
      <c r="G108" s="103"/>
      <c r="H108" s="103"/>
      <c r="I108" s="103">
        <v>318</v>
      </c>
    </row>
    <row r="109" spans="1:9" ht="15">
      <c r="A109" s="583" t="s">
        <v>376</v>
      </c>
      <c r="B109" s="584" t="s">
        <v>377</v>
      </c>
      <c r="C109" s="584" t="s">
        <v>156</v>
      </c>
      <c r="D109" s="584" t="s">
        <v>1549</v>
      </c>
      <c r="E109" s="584" t="s">
        <v>100</v>
      </c>
      <c r="F109" s="608">
        <v>0</v>
      </c>
      <c r="G109" s="103"/>
      <c r="H109" s="103"/>
      <c r="I109" s="103"/>
    </row>
    <row r="110" spans="1:9" ht="15">
      <c r="A110" s="583" t="s">
        <v>378</v>
      </c>
      <c r="B110" s="584" t="s">
        <v>379</v>
      </c>
      <c r="C110" s="584" t="s">
        <v>156</v>
      </c>
      <c r="D110" s="584" t="s">
        <v>1550</v>
      </c>
      <c r="E110" s="584" t="s">
        <v>380</v>
      </c>
      <c r="F110" s="608">
        <v>317519.62</v>
      </c>
      <c r="G110" s="103"/>
      <c r="H110" s="103"/>
      <c r="I110" s="103"/>
    </row>
    <row r="111" spans="1:9" ht="15">
      <c r="A111" s="583" t="s">
        <v>381</v>
      </c>
      <c r="B111" s="584" t="s">
        <v>382</v>
      </c>
      <c r="C111" s="584" t="s">
        <v>156</v>
      </c>
      <c r="D111" s="584" t="s">
        <v>1548</v>
      </c>
      <c r="E111" s="584" t="s">
        <v>100</v>
      </c>
      <c r="F111" s="608">
        <v>0</v>
      </c>
      <c r="G111" s="103"/>
      <c r="H111" s="103"/>
      <c r="I111" s="103"/>
    </row>
    <row r="112" spans="1:9" ht="15">
      <c r="A112" s="583" t="s">
        <v>383</v>
      </c>
      <c r="B112" s="584" t="s">
        <v>384</v>
      </c>
      <c r="C112" s="584" t="s">
        <v>156</v>
      </c>
      <c r="D112" s="584" t="s">
        <v>1549</v>
      </c>
      <c r="E112" s="584" t="s">
        <v>100</v>
      </c>
      <c r="F112" s="608">
        <v>8072.58</v>
      </c>
      <c r="G112" s="103"/>
      <c r="H112" s="103"/>
      <c r="I112" s="103">
        <v>8</v>
      </c>
    </row>
    <row r="113" spans="1:9" ht="15">
      <c r="A113" s="583" t="s">
        <v>385</v>
      </c>
      <c r="B113" s="584" t="s">
        <v>386</v>
      </c>
      <c r="C113" s="584" t="s">
        <v>156</v>
      </c>
      <c r="D113" s="584" t="s">
        <v>1549</v>
      </c>
      <c r="E113" s="584" t="s">
        <v>100</v>
      </c>
      <c r="F113" s="608">
        <v>50000</v>
      </c>
      <c r="G113" s="103"/>
      <c r="H113" s="103"/>
      <c r="I113" s="103">
        <v>50</v>
      </c>
    </row>
    <row r="114" spans="1:9" ht="15">
      <c r="A114" s="583" t="s">
        <v>389</v>
      </c>
      <c r="B114" s="584" t="s">
        <v>390</v>
      </c>
      <c r="C114" s="584" t="s">
        <v>156</v>
      </c>
      <c r="D114" s="584" t="s">
        <v>1549</v>
      </c>
      <c r="E114" s="584" t="s">
        <v>100</v>
      </c>
      <c r="F114" s="608">
        <v>4022.78</v>
      </c>
      <c r="G114" s="103"/>
      <c r="H114" s="103"/>
      <c r="I114" s="103">
        <v>4</v>
      </c>
    </row>
    <row r="115" spans="1:9" ht="15">
      <c r="A115" s="583" t="s">
        <v>391</v>
      </c>
      <c r="B115" s="584" t="s">
        <v>392</v>
      </c>
      <c r="C115" s="584" t="s">
        <v>156</v>
      </c>
      <c r="D115" s="584" t="s">
        <v>1549</v>
      </c>
      <c r="E115" s="584" t="s">
        <v>100</v>
      </c>
      <c r="F115" s="608">
        <v>0</v>
      </c>
      <c r="G115" s="103"/>
      <c r="H115" s="103"/>
      <c r="I115" s="103"/>
    </row>
    <row r="116" spans="1:9" ht="15">
      <c r="A116" s="583" t="s">
        <v>393</v>
      </c>
      <c r="B116" s="584" t="s">
        <v>1566</v>
      </c>
      <c r="C116" s="584" t="s">
        <v>156</v>
      </c>
      <c r="D116" s="584" t="s">
        <v>1549</v>
      </c>
      <c r="E116" s="584" t="s">
        <v>100</v>
      </c>
      <c r="F116" s="608">
        <v>0</v>
      </c>
      <c r="G116" s="103"/>
      <c r="H116" s="103"/>
      <c r="I116" s="103"/>
    </row>
    <row r="117" spans="1:9" ht="15">
      <c r="A117" s="583" t="s">
        <v>395</v>
      </c>
      <c r="B117" s="584" t="s">
        <v>396</v>
      </c>
      <c r="C117" s="584" t="s">
        <v>156</v>
      </c>
      <c r="D117" s="584" t="s">
        <v>1549</v>
      </c>
      <c r="E117" s="584" t="s">
        <v>100</v>
      </c>
      <c r="F117" s="608">
        <v>0</v>
      </c>
      <c r="G117" s="103"/>
      <c r="H117" s="103"/>
      <c r="I117" s="103"/>
    </row>
    <row r="118" spans="1:9" ht="15">
      <c r="A118" s="583" t="s">
        <v>397</v>
      </c>
      <c r="B118" s="584" t="s">
        <v>1568</v>
      </c>
      <c r="C118" s="584" t="s">
        <v>156</v>
      </c>
      <c r="D118" s="584" t="s">
        <v>1549</v>
      </c>
      <c r="E118" s="584" t="s">
        <v>100</v>
      </c>
      <c r="F118" s="608">
        <v>27781.3</v>
      </c>
      <c r="G118" s="103"/>
      <c r="H118" s="103"/>
      <c r="I118" s="103">
        <v>28</v>
      </c>
    </row>
    <row r="119" spans="1:9" ht="15">
      <c r="A119" s="583" t="s">
        <v>399</v>
      </c>
      <c r="B119" s="584" t="s">
        <v>400</v>
      </c>
      <c r="C119" s="584" t="s">
        <v>156</v>
      </c>
      <c r="D119" s="584" t="s">
        <v>1549</v>
      </c>
      <c r="E119" s="584" t="s">
        <v>100</v>
      </c>
      <c r="F119" s="608">
        <v>11929.48</v>
      </c>
      <c r="G119" s="103"/>
      <c r="H119" s="103"/>
      <c r="I119" s="103">
        <v>12</v>
      </c>
    </row>
    <row r="120" spans="1:9" ht="15">
      <c r="A120" s="583" t="s">
        <v>401</v>
      </c>
      <c r="B120" s="584" t="s">
        <v>402</v>
      </c>
      <c r="C120" s="584" t="s">
        <v>156</v>
      </c>
      <c r="D120" s="584" t="s">
        <v>1549</v>
      </c>
      <c r="E120" s="584" t="s">
        <v>100</v>
      </c>
      <c r="F120" s="608">
        <v>0</v>
      </c>
      <c r="G120" s="103"/>
      <c r="H120" s="103"/>
      <c r="I120" s="103"/>
    </row>
    <row r="121" spans="1:9" ht="15">
      <c r="A121" s="583" t="s">
        <v>403</v>
      </c>
      <c r="B121" s="584" t="s">
        <v>404</v>
      </c>
      <c r="C121" s="584" t="s">
        <v>156</v>
      </c>
      <c r="D121" s="584" t="s">
        <v>1549</v>
      </c>
      <c r="E121" s="584" t="s">
        <v>100</v>
      </c>
      <c r="F121" s="608">
        <v>0</v>
      </c>
      <c r="G121" s="103"/>
      <c r="H121" s="103"/>
      <c r="I121" s="103"/>
    </row>
    <row r="122" spans="1:9" ht="15">
      <c r="A122" s="583" t="s">
        <v>405</v>
      </c>
      <c r="B122" s="584" t="s">
        <v>1570</v>
      </c>
      <c r="C122" s="584" t="s">
        <v>156</v>
      </c>
      <c r="D122" s="584" t="s">
        <v>1549</v>
      </c>
      <c r="E122" s="584" t="s">
        <v>100</v>
      </c>
      <c r="F122" s="608">
        <v>415.1</v>
      </c>
      <c r="G122" s="103"/>
      <c r="H122" s="103"/>
      <c r="I122" s="103">
        <v>0</v>
      </c>
    </row>
    <row r="123" spans="1:9" ht="15">
      <c r="A123" s="583" t="s">
        <v>407</v>
      </c>
      <c r="B123" s="584" t="s">
        <v>220</v>
      </c>
      <c r="C123" s="584" t="s">
        <v>156</v>
      </c>
      <c r="D123" s="584" t="s">
        <v>1549</v>
      </c>
      <c r="E123" s="584" t="s">
        <v>100</v>
      </c>
      <c r="F123" s="608">
        <v>0</v>
      </c>
      <c r="G123" s="103"/>
      <c r="H123" s="103"/>
      <c r="I123" s="103"/>
    </row>
    <row r="124" spans="1:9" ht="15">
      <c r="A124" s="583" t="s">
        <v>1571</v>
      </c>
      <c r="B124" s="584" t="s">
        <v>388</v>
      </c>
      <c r="C124" s="584" t="s">
        <v>156</v>
      </c>
      <c r="D124" s="584" t="s">
        <v>1549</v>
      </c>
      <c r="E124" s="584" t="s">
        <v>100</v>
      </c>
      <c r="F124" s="608">
        <v>5306.91</v>
      </c>
      <c r="G124" s="103"/>
      <c r="H124" s="103"/>
      <c r="I124" s="103">
        <v>5</v>
      </c>
    </row>
    <row r="125" spans="1:9" ht="15">
      <c r="A125" s="583" t="s">
        <v>408</v>
      </c>
      <c r="B125" s="584" t="s">
        <v>409</v>
      </c>
      <c r="C125" s="584" t="s">
        <v>156</v>
      </c>
      <c r="D125" s="584" t="s">
        <v>1550</v>
      </c>
      <c r="E125" s="584" t="s">
        <v>410</v>
      </c>
      <c r="F125" s="608">
        <v>107528.15</v>
      </c>
      <c r="G125" s="103"/>
      <c r="H125" s="103"/>
      <c r="I125" s="103"/>
    </row>
    <row r="126" spans="1:9" ht="15">
      <c r="A126" s="583" t="s">
        <v>411</v>
      </c>
      <c r="B126" s="584" t="s">
        <v>412</v>
      </c>
      <c r="C126" s="584" t="s">
        <v>156</v>
      </c>
      <c r="D126" s="584" t="s">
        <v>1548</v>
      </c>
      <c r="E126" s="584" t="s">
        <v>100</v>
      </c>
      <c r="F126" s="608">
        <v>0</v>
      </c>
      <c r="G126" s="103"/>
      <c r="H126" s="103"/>
      <c r="I126" s="103"/>
    </row>
    <row r="127" spans="1:9" ht="15">
      <c r="A127" s="583" t="s">
        <v>413</v>
      </c>
      <c r="B127" s="584" t="s">
        <v>414</v>
      </c>
      <c r="C127" s="584" t="s">
        <v>156</v>
      </c>
      <c r="D127" s="584" t="s">
        <v>1549</v>
      </c>
      <c r="E127" s="584" t="s">
        <v>100</v>
      </c>
      <c r="F127" s="608">
        <v>0</v>
      </c>
      <c r="G127" s="103"/>
      <c r="H127" s="103"/>
      <c r="I127" s="103"/>
    </row>
    <row r="128" spans="1:9" ht="15">
      <c r="A128" s="583" t="s">
        <v>415</v>
      </c>
      <c r="B128" s="584" t="s">
        <v>416</v>
      </c>
      <c r="C128" s="584" t="s">
        <v>156</v>
      </c>
      <c r="D128" s="584" t="s">
        <v>1550</v>
      </c>
      <c r="E128" s="584" t="s">
        <v>417</v>
      </c>
      <c r="F128" s="608">
        <v>0</v>
      </c>
      <c r="G128" s="103"/>
      <c r="H128" s="103"/>
      <c r="I128" s="103"/>
    </row>
    <row r="129" spans="1:9" ht="15">
      <c r="A129" s="583" t="s">
        <v>418</v>
      </c>
      <c r="B129" s="584" t="s">
        <v>419</v>
      </c>
      <c r="C129" s="584" t="s">
        <v>156</v>
      </c>
      <c r="D129" s="584" t="s">
        <v>1548</v>
      </c>
      <c r="E129" s="584" t="s">
        <v>100</v>
      </c>
      <c r="F129" s="608">
        <v>0</v>
      </c>
      <c r="G129" s="103"/>
      <c r="H129" s="103"/>
      <c r="I129" s="103"/>
    </row>
    <row r="130" spans="1:9" ht="15">
      <c r="A130" s="583" t="s">
        <v>420</v>
      </c>
      <c r="B130" s="584" t="s">
        <v>56</v>
      </c>
      <c r="C130" s="584" t="s">
        <v>156</v>
      </c>
      <c r="D130" s="584" t="s">
        <v>1549</v>
      </c>
      <c r="E130" s="584" t="s">
        <v>100</v>
      </c>
      <c r="F130" s="608">
        <v>0</v>
      </c>
      <c r="G130" s="103"/>
      <c r="H130" s="103"/>
      <c r="I130" s="103"/>
    </row>
    <row r="131" spans="1:9" ht="15">
      <c r="A131" s="583" t="s">
        <v>421</v>
      </c>
      <c r="B131" s="584" t="s">
        <v>422</v>
      </c>
      <c r="C131" s="584" t="s">
        <v>156</v>
      </c>
      <c r="D131" s="584" t="s">
        <v>1550</v>
      </c>
      <c r="E131" s="584" t="s">
        <v>423</v>
      </c>
      <c r="F131" s="608">
        <v>0</v>
      </c>
      <c r="G131" s="103"/>
      <c r="H131" s="103"/>
      <c r="I131" s="103"/>
    </row>
    <row r="132" spans="1:9" ht="15">
      <c r="A132" s="583" t="s">
        <v>424</v>
      </c>
      <c r="B132" s="584" t="s">
        <v>425</v>
      </c>
      <c r="C132" s="584" t="s">
        <v>156</v>
      </c>
      <c r="D132" s="584" t="s">
        <v>1550</v>
      </c>
      <c r="E132" s="584" t="s">
        <v>426</v>
      </c>
      <c r="F132" s="608">
        <v>425047.77</v>
      </c>
      <c r="G132" s="103"/>
      <c r="H132" s="103"/>
      <c r="I132" s="103"/>
    </row>
    <row r="133" spans="1:9" ht="15">
      <c r="A133" s="583" t="s">
        <v>427</v>
      </c>
      <c r="B133" s="584" t="s">
        <v>428</v>
      </c>
      <c r="C133" s="584" t="s">
        <v>156</v>
      </c>
      <c r="D133" s="584" t="s">
        <v>1548</v>
      </c>
      <c r="E133" s="584" t="s">
        <v>100</v>
      </c>
      <c r="F133" s="608">
        <v>0</v>
      </c>
      <c r="G133" s="103"/>
      <c r="H133" s="103"/>
      <c r="I133" s="103"/>
    </row>
    <row r="134" spans="1:9" ht="15">
      <c r="A134" s="583" t="s">
        <v>430</v>
      </c>
      <c r="B134" s="584" t="s">
        <v>431</v>
      </c>
      <c r="C134" s="584" t="s">
        <v>156</v>
      </c>
      <c r="D134" s="584" t="s">
        <v>1549</v>
      </c>
      <c r="E134" s="584" t="s">
        <v>100</v>
      </c>
      <c r="F134" s="608">
        <v>-99600</v>
      </c>
      <c r="G134" s="103"/>
      <c r="H134" s="103"/>
      <c r="I134" s="103">
        <v>-100</v>
      </c>
    </row>
    <row r="135" spans="1:9" ht="15">
      <c r="A135" s="583" t="s">
        <v>439</v>
      </c>
      <c r="B135" s="584" t="s">
        <v>440</v>
      </c>
      <c r="C135" s="584" t="s">
        <v>156</v>
      </c>
      <c r="D135" s="584" t="s">
        <v>1549</v>
      </c>
      <c r="E135" s="584" t="s">
        <v>100</v>
      </c>
      <c r="F135" s="608">
        <v>-98601.7</v>
      </c>
      <c r="G135" s="103"/>
      <c r="H135" s="103"/>
      <c r="I135" s="103">
        <v>-99</v>
      </c>
    </row>
    <row r="136" spans="1:9" ht="15">
      <c r="A136" s="583" t="s">
        <v>441</v>
      </c>
      <c r="B136" s="584" t="s">
        <v>442</v>
      </c>
      <c r="C136" s="584" t="s">
        <v>156</v>
      </c>
      <c r="D136" s="584" t="s">
        <v>1549</v>
      </c>
      <c r="E136" s="584" t="s">
        <v>100</v>
      </c>
      <c r="F136" s="608">
        <v>0</v>
      </c>
      <c r="G136" s="103"/>
      <c r="H136" s="103"/>
      <c r="I136" s="103"/>
    </row>
    <row r="137" spans="1:9" ht="15">
      <c r="A137" s="583" t="s">
        <v>443</v>
      </c>
      <c r="B137" s="584" t="s">
        <v>444</v>
      </c>
      <c r="C137" s="584" t="s">
        <v>156</v>
      </c>
      <c r="D137" s="584" t="s">
        <v>1549</v>
      </c>
      <c r="E137" s="584" t="s">
        <v>100</v>
      </c>
      <c r="F137" s="608">
        <v>0</v>
      </c>
      <c r="G137" s="103"/>
      <c r="H137" s="103"/>
      <c r="I137" s="103"/>
    </row>
    <row r="138" spans="1:9" ht="15">
      <c r="A138" s="583" t="s">
        <v>445</v>
      </c>
      <c r="B138" s="584" t="s">
        <v>446</v>
      </c>
      <c r="C138" s="584" t="s">
        <v>156</v>
      </c>
      <c r="D138" s="584" t="s">
        <v>1549</v>
      </c>
      <c r="E138" s="584" t="s">
        <v>100</v>
      </c>
      <c r="F138" s="608">
        <v>0</v>
      </c>
      <c r="G138" s="103"/>
      <c r="H138" s="103"/>
      <c r="I138" s="103"/>
    </row>
    <row r="139" spans="1:9" ht="15">
      <c r="A139" s="583" t="s">
        <v>447</v>
      </c>
      <c r="B139" s="584" t="s">
        <v>448</v>
      </c>
      <c r="C139" s="584" t="s">
        <v>156</v>
      </c>
      <c r="D139" s="584" t="s">
        <v>1549</v>
      </c>
      <c r="E139" s="584" t="s">
        <v>100</v>
      </c>
      <c r="F139" s="608">
        <v>499492.25</v>
      </c>
      <c r="G139" s="103"/>
      <c r="H139" s="103"/>
      <c r="I139" s="103">
        <v>499</v>
      </c>
    </row>
    <row r="140" spans="1:9" ht="15">
      <c r="A140" s="583" t="s">
        <v>449</v>
      </c>
      <c r="B140" s="584" t="s">
        <v>450</v>
      </c>
      <c r="C140" s="584" t="s">
        <v>156</v>
      </c>
      <c r="D140" s="584" t="s">
        <v>1549</v>
      </c>
      <c r="E140" s="584" t="s">
        <v>100</v>
      </c>
      <c r="F140" s="608">
        <v>27472.89</v>
      </c>
      <c r="G140" s="103"/>
      <c r="H140" s="103"/>
      <c r="I140" s="103">
        <v>27</v>
      </c>
    </row>
    <row r="141" spans="1:9" ht="15">
      <c r="A141" s="583" t="s">
        <v>451</v>
      </c>
      <c r="B141" s="584" t="s">
        <v>452</v>
      </c>
      <c r="C141" s="584" t="s">
        <v>156</v>
      </c>
      <c r="D141" s="584" t="s">
        <v>1549</v>
      </c>
      <c r="E141" s="584" t="s">
        <v>100</v>
      </c>
      <c r="F141" s="608">
        <v>305411.01</v>
      </c>
      <c r="G141" s="103"/>
      <c r="H141" s="103"/>
      <c r="I141" s="103">
        <v>305</v>
      </c>
    </row>
    <row r="142" spans="1:9" ht="15">
      <c r="A142" s="583" t="s">
        <v>453</v>
      </c>
      <c r="B142" s="584" t="s">
        <v>454</v>
      </c>
      <c r="C142" s="584" t="s">
        <v>156</v>
      </c>
      <c r="D142" s="584" t="s">
        <v>1549</v>
      </c>
      <c r="E142" s="584" t="s">
        <v>100</v>
      </c>
      <c r="F142" s="608">
        <v>0</v>
      </c>
      <c r="G142" s="103"/>
      <c r="H142" s="103"/>
      <c r="I142" s="103"/>
    </row>
    <row r="143" spans="1:9" ht="15">
      <c r="A143" s="583" t="s">
        <v>455</v>
      </c>
      <c r="B143" s="584" t="s">
        <v>456</v>
      </c>
      <c r="C143" s="584" t="s">
        <v>156</v>
      </c>
      <c r="D143" s="584" t="s">
        <v>1549</v>
      </c>
      <c r="E143" s="584" t="s">
        <v>100</v>
      </c>
      <c r="F143" s="608">
        <v>0</v>
      </c>
      <c r="G143" s="103"/>
      <c r="H143" s="103"/>
      <c r="I143" s="103"/>
    </row>
    <row r="144" spans="1:9" ht="15">
      <c r="A144" s="583" t="s">
        <v>457</v>
      </c>
      <c r="B144" s="584" t="s">
        <v>1575</v>
      </c>
      <c r="C144" s="584" t="s">
        <v>872</v>
      </c>
      <c r="D144" s="584" t="s">
        <v>1549</v>
      </c>
      <c r="E144" s="584" t="s">
        <v>100</v>
      </c>
      <c r="F144" s="608">
        <v>32755.97</v>
      </c>
      <c r="G144" s="103"/>
      <c r="H144" s="103"/>
      <c r="I144" s="103">
        <v>33</v>
      </c>
    </row>
    <row r="145" spans="1:16" ht="15">
      <c r="A145" s="583" t="s">
        <v>459</v>
      </c>
      <c r="B145" s="584" t="s">
        <v>1576</v>
      </c>
      <c r="C145" s="584" t="s">
        <v>156</v>
      </c>
      <c r="D145" s="584" t="s">
        <v>1549</v>
      </c>
      <c r="E145" s="584" t="s">
        <v>100</v>
      </c>
      <c r="F145" s="608">
        <v>80964.05</v>
      </c>
      <c r="G145" s="103"/>
      <c r="H145" s="103"/>
      <c r="I145" s="103">
        <v>81</v>
      </c>
    </row>
    <row r="146" spans="1:16" ht="15">
      <c r="A146" s="583" t="s">
        <v>461</v>
      </c>
      <c r="B146" s="584" t="s">
        <v>462</v>
      </c>
      <c r="C146" s="584" t="s">
        <v>156</v>
      </c>
      <c r="D146" s="584" t="s">
        <v>1550</v>
      </c>
      <c r="E146" s="584" t="s">
        <v>463</v>
      </c>
      <c r="F146" s="608">
        <v>747894.47</v>
      </c>
      <c r="G146" s="103"/>
      <c r="H146" s="103"/>
      <c r="I146" s="103"/>
    </row>
    <row r="147" spans="1:16" ht="15">
      <c r="A147" s="583" t="s">
        <v>464</v>
      </c>
      <c r="B147" s="584" t="s">
        <v>465</v>
      </c>
      <c r="C147" s="584" t="s">
        <v>156</v>
      </c>
      <c r="D147" s="584" t="s">
        <v>1548</v>
      </c>
      <c r="E147" s="584" t="s">
        <v>100</v>
      </c>
      <c r="F147" s="608">
        <v>0</v>
      </c>
      <c r="G147" s="103"/>
      <c r="H147" s="103"/>
      <c r="I147" s="103"/>
    </row>
    <row r="148" spans="1:16" ht="15">
      <c r="A148" s="583" t="s">
        <v>466</v>
      </c>
      <c r="B148" s="584" t="s">
        <v>467</v>
      </c>
      <c r="C148" s="584" t="s">
        <v>156</v>
      </c>
      <c r="D148" s="584" t="s">
        <v>1548</v>
      </c>
      <c r="E148" s="584" t="s">
        <v>100</v>
      </c>
      <c r="F148" s="608">
        <v>0</v>
      </c>
      <c r="G148" s="103"/>
      <c r="H148" s="103"/>
      <c r="I148" s="103"/>
      <c r="K148" s="542" t="s">
        <v>432</v>
      </c>
      <c r="L148" s="543" t="s">
        <v>148</v>
      </c>
      <c r="M148" s="543" t="s">
        <v>433</v>
      </c>
      <c r="N148" s="543" t="s">
        <v>475</v>
      </c>
      <c r="O148" s="543" t="s">
        <v>476</v>
      </c>
      <c r="P148" s="544" t="s">
        <v>477</v>
      </c>
    </row>
    <row r="149" spans="1:16" ht="15">
      <c r="A149" s="583" t="s">
        <v>468</v>
      </c>
      <c r="B149" s="584" t="s">
        <v>469</v>
      </c>
      <c r="C149" s="584" t="s">
        <v>156</v>
      </c>
      <c r="D149" s="584" t="s">
        <v>1548</v>
      </c>
      <c r="E149" s="584" t="s">
        <v>100</v>
      </c>
      <c r="F149" s="608">
        <v>0</v>
      </c>
      <c r="G149" s="103"/>
      <c r="H149" s="103"/>
      <c r="I149" s="103"/>
      <c r="K149" s="579" t="s">
        <v>468</v>
      </c>
      <c r="L149" s="580" t="s">
        <v>469</v>
      </c>
      <c r="M149" s="581">
        <v>0</v>
      </c>
      <c r="N149" s="581">
        <v>0</v>
      </c>
      <c r="O149" s="581">
        <v>0</v>
      </c>
      <c r="P149" s="609">
        <v>0</v>
      </c>
    </row>
    <row r="150" spans="1:16" ht="15">
      <c r="A150" s="583" t="s">
        <v>470</v>
      </c>
      <c r="B150" s="584" t="s">
        <v>155</v>
      </c>
      <c r="C150" s="584" t="s">
        <v>156</v>
      </c>
      <c r="D150" s="584" t="s">
        <v>1548</v>
      </c>
      <c r="E150" s="584" t="s">
        <v>100</v>
      </c>
      <c r="F150" s="608">
        <v>0</v>
      </c>
      <c r="G150" s="103"/>
      <c r="H150" s="103"/>
      <c r="I150" s="103"/>
      <c r="K150" s="583" t="s">
        <v>470</v>
      </c>
      <c r="L150" s="584" t="s">
        <v>155</v>
      </c>
      <c r="M150" s="585">
        <v>0</v>
      </c>
      <c r="N150" s="585">
        <v>0</v>
      </c>
      <c r="O150" s="585">
        <v>0</v>
      </c>
      <c r="P150" s="610">
        <v>0</v>
      </c>
    </row>
    <row r="151" spans="1:16" ht="15">
      <c r="A151" s="583" t="s">
        <v>471</v>
      </c>
      <c r="B151" s="584" t="s">
        <v>472</v>
      </c>
      <c r="C151" s="584" t="s">
        <v>156</v>
      </c>
      <c r="D151" s="584" t="s">
        <v>1549</v>
      </c>
      <c r="E151" s="584" t="s">
        <v>100</v>
      </c>
      <c r="F151" s="608">
        <v>-2865753.82</v>
      </c>
      <c r="G151" s="103"/>
      <c r="H151" s="103"/>
      <c r="I151" s="103">
        <v>-2866</v>
      </c>
      <c r="J151" s="1">
        <f>+F151-M151</f>
        <v>0</v>
      </c>
      <c r="K151" s="579" t="s">
        <v>471</v>
      </c>
      <c r="L151" s="580" t="s">
        <v>472</v>
      </c>
      <c r="M151" s="581">
        <v>-2865753.82</v>
      </c>
      <c r="N151" s="589">
        <v>-703847.32</v>
      </c>
      <c r="O151" s="589">
        <v>-2161906.5</v>
      </c>
      <c r="P151" s="609">
        <v>0</v>
      </c>
    </row>
    <row r="152" spans="1:16" ht="15">
      <c r="A152" s="583" t="s">
        <v>473</v>
      </c>
      <c r="B152" s="584" t="s">
        <v>474</v>
      </c>
      <c r="C152" s="584" t="s">
        <v>156</v>
      </c>
      <c r="D152" s="584" t="s">
        <v>1549</v>
      </c>
      <c r="E152" s="584" t="s">
        <v>100</v>
      </c>
      <c r="F152" s="608">
        <v>-1672460</v>
      </c>
      <c r="G152" s="103"/>
      <c r="H152" s="103"/>
      <c r="I152" s="103">
        <v>-1673</v>
      </c>
      <c r="J152" s="1">
        <f t="shared" ref="J152:J215" si="0">+F152-M152</f>
        <v>0</v>
      </c>
      <c r="K152" s="583" t="s">
        <v>473</v>
      </c>
      <c r="L152" s="584" t="s">
        <v>474</v>
      </c>
      <c r="M152" s="585">
        <v>-1672460</v>
      </c>
      <c r="N152" s="590">
        <v>-121645</v>
      </c>
      <c r="O152" s="590">
        <v>-1550815</v>
      </c>
      <c r="P152" s="610">
        <v>0</v>
      </c>
    </row>
    <row r="153" spans="1:16" ht="15">
      <c r="A153" s="583" t="s">
        <v>478</v>
      </c>
      <c r="B153" s="584" t="s">
        <v>479</v>
      </c>
      <c r="C153" s="584" t="s">
        <v>156</v>
      </c>
      <c r="D153" s="584" t="s">
        <v>1549</v>
      </c>
      <c r="E153" s="584" t="s">
        <v>100</v>
      </c>
      <c r="F153" s="608">
        <v>293520.09999999998</v>
      </c>
      <c r="G153" s="103"/>
      <c r="H153" s="103"/>
      <c r="I153" s="103">
        <v>294</v>
      </c>
      <c r="J153" s="1">
        <f t="shared" si="0"/>
        <v>0</v>
      </c>
      <c r="K153" s="579" t="s">
        <v>478</v>
      </c>
      <c r="L153" s="580" t="s">
        <v>479</v>
      </c>
      <c r="M153" s="581">
        <v>293520.09999999998</v>
      </c>
      <c r="N153" s="589">
        <v>35810.01</v>
      </c>
      <c r="O153" s="589">
        <v>257001.41</v>
      </c>
      <c r="P153" s="609">
        <v>708.68</v>
      </c>
    </row>
    <row r="154" spans="1:16" ht="15">
      <c r="A154" s="583" t="s">
        <v>480</v>
      </c>
      <c r="B154" s="584" t="s">
        <v>481</v>
      </c>
      <c r="C154" s="584" t="s">
        <v>156</v>
      </c>
      <c r="D154" s="584" t="s">
        <v>1549</v>
      </c>
      <c r="E154" s="584" t="s">
        <v>100</v>
      </c>
      <c r="F154" s="608">
        <v>-1303089.67</v>
      </c>
      <c r="G154" s="103"/>
      <c r="H154" s="103"/>
      <c r="I154" s="103">
        <v>-1303</v>
      </c>
      <c r="J154" s="1">
        <f t="shared" si="0"/>
        <v>0</v>
      </c>
      <c r="K154" s="583" t="s">
        <v>480</v>
      </c>
      <c r="L154" s="584" t="s">
        <v>481</v>
      </c>
      <c r="M154" s="585">
        <v>-1303089.67</v>
      </c>
      <c r="N154" s="590">
        <v>-30179.95</v>
      </c>
      <c r="O154" s="590">
        <v>-1251352.2</v>
      </c>
      <c r="P154" s="610">
        <v>-21557.52</v>
      </c>
    </row>
    <row r="155" spans="1:16" ht="15">
      <c r="A155" s="583" t="s">
        <v>482</v>
      </c>
      <c r="B155" s="584" t="s">
        <v>278</v>
      </c>
      <c r="C155" s="584" t="s">
        <v>156</v>
      </c>
      <c r="D155" s="584" t="s">
        <v>1550</v>
      </c>
      <c r="E155" s="584" t="s">
        <v>483</v>
      </c>
      <c r="F155" s="608">
        <v>-5547783.3899999997</v>
      </c>
      <c r="G155" s="103"/>
      <c r="H155" s="103"/>
      <c r="I155" s="103"/>
      <c r="J155" s="1">
        <f t="shared" si="0"/>
        <v>0</v>
      </c>
      <c r="K155" s="579" t="s">
        <v>482</v>
      </c>
      <c r="L155" s="580" t="s">
        <v>278</v>
      </c>
      <c r="M155" s="581">
        <v>-5547783.3899999997</v>
      </c>
      <c r="N155" s="581">
        <v>-819862.26</v>
      </c>
      <c r="O155" s="581">
        <v>-4707072.29</v>
      </c>
      <c r="P155" s="609">
        <v>-20848.84</v>
      </c>
    </row>
    <row r="156" spans="1:16" ht="15">
      <c r="A156" s="583" t="s">
        <v>484</v>
      </c>
      <c r="B156" s="584" t="s">
        <v>485</v>
      </c>
      <c r="C156" s="584" t="s">
        <v>156</v>
      </c>
      <c r="D156" s="584" t="s">
        <v>1548</v>
      </c>
      <c r="E156" s="584" t="s">
        <v>100</v>
      </c>
      <c r="F156" s="608">
        <v>0</v>
      </c>
      <c r="G156" s="103"/>
      <c r="H156" s="103"/>
      <c r="I156" s="103"/>
      <c r="J156" s="1">
        <f t="shared" si="0"/>
        <v>0</v>
      </c>
      <c r="K156" s="583" t="s">
        <v>484</v>
      </c>
      <c r="L156" s="584" t="s">
        <v>485</v>
      </c>
      <c r="M156" s="585">
        <v>0</v>
      </c>
      <c r="N156" s="585">
        <v>0</v>
      </c>
      <c r="O156" s="585">
        <v>0</v>
      </c>
      <c r="P156" s="610">
        <v>0</v>
      </c>
    </row>
    <row r="157" spans="1:16" ht="15">
      <c r="A157" s="583" t="s">
        <v>486</v>
      </c>
      <c r="B157" s="584" t="s">
        <v>487</v>
      </c>
      <c r="C157" s="584" t="s">
        <v>156</v>
      </c>
      <c r="D157" s="584" t="s">
        <v>1549</v>
      </c>
      <c r="E157" s="584" t="s">
        <v>100</v>
      </c>
      <c r="F157" s="608">
        <v>98077.73</v>
      </c>
      <c r="G157" s="103"/>
      <c r="H157" s="103"/>
      <c r="I157" s="103">
        <v>98</v>
      </c>
      <c r="J157" s="1">
        <f t="shared" si="0"/>
        <v>0</v>
      </c>
      <c r="K157" s="579" t="s">
        <v>486</v>
      </c>
      <c r="L157" s="580" t="s">
        <v>487</v>
      </c>
      <c r="M157" s="581">
        <v>98077.73</v>
      </c>
      <c r="N157" s="589">
        <v>40183.43</v>
      </c>
      <c r="O157" s="589">
        <v>57894.3</v>
      </c>
      <c r="P157" s="609">
        <v>0</v>
      </c>
    </row>
    <row r="158" spans="1:16" ht="15">
      <c r="A158" s="583" t="s">
        <v>488</v>
      </c>
      <c r="B158" s="584" t="s">
        <v>489</v>
      </c>
      <c r="C158" s="584" t="s">
        <v>156</v>
      </c>
      <c r="D158" s="584" t="s">
        <v>1549</v>
      </c>
      <c r="E158" s="584" t="s">
        <v>100</v>
      </c>
      <c r="F158" s="608">
        <v>261317.74</v>
      </c>
      <c r="G158" s="103"/>
      <c r="H158" s="103"/>
      <c r="I158" s="103">
        <v>261</v>
      </c>
      <c r="J158" s="1">
        <f t="shared" si="0"/>
        <v>0</v>
      </c>
      <c r="K158" s="583" t="s">
        <v>488</v>
      </c>
      <c r="L158" s="584" t="s">
        <v>489</v>
      </c>
      <c r="M158" s="585">
        <v>261317.74</v>
      </c>
      <c r="N158" s="590">
        <v>234707.42</v>
      </c>
      <c r="O158" s="590">
        <v>26610.32</v>
      </c>
      <c r="P158" s="610">
        <v>0</v>
      </c>
    </row>
    <row r="159" spans="1:16" ht="15">
      <c r="A159" s="583" t="s">
        <v>490</v>
      </c>
      <c r="B159" s="584" t="s">
        <v>491</v>
      </c>
      <c r="C159" s="584" t="s">
        <v>156</v>
      </c>
      <c r="D159" s="584" t="s">
        <v>1549</v>
      </c>
      <c r="E159" s="584" t="s">
        <v>100</v>
      </c>
      <c r="F159" s="608">
        <v>32587.42</v>
      </c>
      <c r="G159" s="103">
        <f>988.28+675.12+1203.51</f>
        <v>2866.91</v>
      </c>
      <c r="H159" s="103">
        <v>3</v>
      </c>
      <c r="I159" s="103">
        <f>32+H159</f>
        <v>35</v>
      </c>
      <c r="J159" s="1">
        <f t="shared" si="0"/>
        <v>0</v>
      </c>
      <c r="K159" s="579" t="s">
        <v>490</v>
      </c>
      <c r="L159" s="580" t="s">
        <v>491</v>
      </c>
      <c r="M159" s="581">
        <v>32587.42</v>
      </c>
      <c r="N159" s="589">
        <v>14032.42</v>
      </c>
      <c r="O159" s="589">
        <v>18555</v>
      </c>
      <c r="P159" s="609">
        <v>0</v>
      </c>
    </row>
    <row r="160" spans="1:16" ht="15">
      <c r="A160" s="583" t="s">
        <v>492</v>
      </c>
      <c r="B160" s="584" t="s">
        <v>493</v>
      </c>
      <c r="C160" s="584" t="s">
        <v>156</v>
      </c>
      <c r="D160" s="584" t="s">
        <v>1549</v>
      </c>
      <c r="E160" s="584" t="s">
        <v>100</v>
      </c>
      <c r="F160" s="608">
        <v>17359.71</v>
      </c>
      <c r="G160" s="103">
        <v>1247.6199999999999</v>
      </c>
      <c r="H160" s="103">
        <v>1</v>
      </c>
      <c r="I160" s="103">
        <f>17+H160</f>
        <v>18</v>
      </c>
      <c r="J160" s="1">
        <f t="shared" si="0"/>
        <v>0</v>
      </c>
      <c r="K160" s="583" t="s">
        <v>492</v>
      </c>
      <c r="L160" s="584" t="s">
        <v>493</v>
      </c>
      <c r="M160" s="585">
        <v>17359.71</v>
      </c>
      <c r="N160" s="590">
        <v>801.61</v>
      </c>
      <c r="O160" s="590">
        <v>16558.099999999999</v>
      </c>
      <c r="P160" s="610">
        <v>0</v>
      </c>
    </row>
    <row r="161" spans="1:16" ht="15">
      <c r="A161" s="583" t="s">
        <v>494</v>
      </c>
      <c r="B161" s="584" t="s">
        <v>495</v>
      </c>
      <c r="C161" s="584" t="s">
        <v>156</v>
      </c>
      <c r="D161" s="584" t="s">
        <v>1549</v>
      </c>
      <c r="E161" s="584" t="s">
        <v>100</v>
      </c>
      <c r="F161" s="608">
        <v>164269.66</v>
      </c>
      <c r="G161" s="103"/>
      <c r="H161" s="103"/>
      <c r="I161" s="103">
        <v>164</v>
      </c>
      <c r="J161" s="1">
        <f t="shared" si="0"/>
        <v>0</v>
      </c>
      <c r="K161" s="579" t="s">
        <v>494</v>
      </c>
      <c r="L161" s="580" t="s">
        <v>495</v>
      </c>
      <c r="M161" s="581">
        <v>164269.66</v>
      </c>
      <c r="N161" s="589">
        <v>63697.31</v>
      </c>
      <c r="O161" s="589">
        <v>100572.35</v>
      </c>
      <c r="P161" s="609">
        <v>0</v>
      </c>
    </row>
    <row r="162" spans="1:16" ht="15">
      <c r="A162" s="583" t="s">
        <v>496</v>
      </c>
      <c r="B162" s="584" t="s">
        <v>497</v>
      </c>
      <c r="C162" s="584" t="s">
        <v>156</v>
      </c>
      <c r="D162" s="584" t="s">
        <v>1549</v>
      </c>
      <c r="E162" s="584" t="s">
        <v>100</v>
      </c>
      <c r="F162" s="608">
        <v>926377.15</v>
      </c>
      <c r="G162" s="103"/>
      <c r="H162" s="103"/>
      <c r="I162" s="103">
        <v>926</v>
      </c>
      <c r="J162" s="1">
        <f t="shared" si="0"/>
        <v>0</v>
      </c>
      <c r="K162" s="583" t="s">
        <v>496</v>
      </c>
      <c r="L162" s="584" t="s">
        <v>497</v>
      </c>
      <c r="M162" s="585">
        <v>926377.15</v>
      </c>
      <c r="N162" s="590">
        <v>348693.47</v>
      </c>
      <c r="O162" s="590">
        <v>577683.68000000005</v>
      </c>
      <c r="P162" s="610">
        <v>0</v>
      </c>
    </row>
    <row r="163" spans="1:16" ht="15">
      <c r="A163" s="583" t="s">
        <v>1578</v>
      </c>
      <c r="B163" s="584" t="s">
        <v>1579</v>
      </c>
      <c r="C163" s="584" t="s">
        <v>156</v>
      </c>
      <c r="D163" s="584" t="s">
        <v>1549</v>
      </c>
      <c r="E163" s="584" t="s">
        <v>100</v>
      </c>
      <c r="F163" s="608">
        <v>43636.25</v>
      </c>
      <c r="G163" s="103"/>
      <c r="H163" s="103"/>
      <c r="I163" s="103">
        <v>44</v>
      </c>
      <c r="J163" s="1">
        <f t="shared" si="0"/>
        <v>0</v>
      </c>
      <c r="K163" s="579" t="s">
        <v>1578</v>
      </c>
      <c r="L163" s="580" t="s">
        <v>1579</v>
      </c>
      <c r="M163" s="581">
        <v>43636.25</v>
      </c>
      <c r="N163" s="589">
        <v>2863.75</v>
      </c>
      <c r="O163" s="589">
        <v>40772.5</v>
      </c>
      <c r="P163" s="609">
        <v>0</v>
      </c>
    </row>
    <row r="164" spans="1:16" ht="15">
      <c r="A164" s="583" t="s">
        <v>498</v>
      </c>
      <c r="B164" s="584" t="s">
        <v>499</v>
      </c>
      <c r="C164" s="584" t="s">
        <v>156</v>
      </c>
      <c r="D164" s="584" t="s">
        <v>1549</v>
      </c>
      <c r="E164" s="584" t="s">
        <v>100</v>
      </c>
      <c r="F164" s="608">
        <v>-17485.669999999998</v>
      </c>
      <c r="G164" s="103"/>
      <c r="H164" s="103"/>
      <c r="I164" s="103">
        <v>-14</v>
      </c>
      <c r="J164" s="1">
        <f t="shared" si="0"/>
        <v>0</v>
      </c>
      <c r="K164" s="583" t="s">
        <v>498</v>
      </c>
      <c r="L164" s="584" t="s">
        <v>499</v>
      </c>
      <c r="M164" s="585">
        <v>-17485.669999999998</v>
      </c>
      <c r="N164" s="585">
        <v>0</v>
      </c>
      <c r="O164" s="590">
        <v>-16555.2</v>
      </c>
      <c r="P164" s="610">
        <v>-930.47</v>
      </c>
    </row>
    <row r="165" spans="1:16" ht="15">
      <c r="A165" s="583" t="s">
        <v>500</v>
      </c>
      <c r="B165" s="584" t="s">
        <v>501</v>
      </c>
      <c r="C165" s="584" t="s">
        <v>156</v>
      </c>
      <c r="D165" s="584" t="s">
        <v>1549</v>
      </c>
      <c r="E165" s="584" t="s">
        <v>100</v>
      </c>
      <c r="F165" s="608">
        <v>42927.09</v>
      </c>
      <c r="G165" s="103"/>
      <c r="H165" s="103"/>
      <c r="I165" s="103">
        <v>43</v>
      </c>
      <c r="J165" s="1">
        <f t="shared" si="0"/>
        <v>0</v>
      </c>
      <c r="K165" s="579" t="s">
        <v>500</v>
      </c>
      <c r="L165" s="580" t="s">
        <v>501</v>
      </c>
      <c r="M165" s="581">
        <v>42927.09</v>
      </c>
      <c r="N165" s="581">
        <v>0</v>
      </c>
      <c r="O165" s="581">
        <v>42927.09</v>
      </c>
      <c r="P165" s="609">
        <v>0</v>
      </c>
    </row>
    <row r="166" spans="1:16" ht="15">
      <c r="A166" s="583" t="s">
        <v>502</v>
      </c>
      <c r="B166" s="584" t="s">
        <v>503</v>
      </c>
      <c r="C166" s="584" t="s">
        <v>156</v>
      </c>
      <c r="D166" s="584" t="s">
        <v>1550</v>
      </c>
      <c r="E166" s="584" t="s">
        <v>504</v>
      </c>
      <c r="F166" s="608">
        <v>1569067.08</v>
      </c>
      <c r="G166" s="103"/>
      <c r="H166" s="103"/>
      <c r="I166" s="103"/>
      <c r="J166" s="1">
        <f t="shared" si="0"/>
        <v>0</v>
      </c>
      <c r="K166" s="583" t="s">
        <v>502</v>
      </c>
      <c r="L166" s="584" t="s">
        <v>503</v>
      </c>
      <c r="M166" s="585">
        <v>1569067.08</v>
      </c>
      <c r="N166" s="590">
        <v>704979.41</v>
      </c>
      <c r="O166" s="585">
        <v>865018.14</v>
      </c>
      <c r="P166" s="610">
        <v>-930.47</v>
      </c>
    </row>
    <row r="167" spans="1:16" ht="15">
      <c r="A167" s="583" t="s">
        <v>505</v>
      </c>
      <c r="B167" s="584" t="s">
        <v>284</v>
      </c>
      <c r="C167" s="584" t="s">
        <v>156</v>
      </c>
      <c r="D167" s="584" t="s">
        <v>1548</v>
      </c>
      <c r="E167" s="584" t="s">
        <v>100</v>
      </c>
      <c r="F167" s="608">
        <v>0</v>
      </c>
      <c r="G167" s="103"/>
      <c r="H167" s="103"/>
      <c r="I167" s="103"/>
      <c r="J167" s="1">
        <f t="shared" si="0"/>
        <v>0</v>
      </c>
      <c r="K167" s="579" t="s">
        <v>505</v>
      </c>
      <c r="L167" s="580" t="s">
        <v>284</v>
      </c>
      <c r="M167" s="581">
        <v>0</v>
      </c>
      <c r="N167" s="589">
        <v>0</v>
      </c>
      <c r="O167" s="589">
        <v>0</v>
      </c>
      <c r="P167" s="609">
        <v>0</v>
      </c>
    </row>
    <row r="168" spans="1:16" ht="15">
      <c r="A168" s="583" t="s">
        <v>506</v>
      </c>
      <c r="B168" s="584" t="s">
        <v>507</v>
      </c>
      <c r="C168" s="584" t="s">
        <v>156</v>
      </c>
      <c r="D168" s="584" t="s">
        <v>1549</v>
      </c>
      <c r="E168" s="584" t="s">
        <v>100</v>
      </c>
      <c r="F168" s="608">
        <v>2362245.29</v>
      </c>
      <c r="G168" s="103"/>
      <c r="H168" s="103"/>
      <c r="I168" s="103">
        <v>2362</v>
      </c>
      <c r="J168" s="1">
        <f t="shared" si="0"/>
        <v>0</v>
      </c>
      <c r="K168" s="583" t="s">
        <v>506</v>
      </c>
      <c r="L168" s="584" t="s">
        <v>507</v>
      </c>
      <c r="M168" s="585">
        <v>2362245.29</v>
      </c>
      <c r="N168" s="590">
        <v>544177.31000000006</v>
      </c>
      <c r="O168" s="590">
        <v>1818067.98</v>
      </c>
      <c r="P168" s="610">
        <v>0</v>
      </c>
    </row>
    <row r="169" spans="1:16" ht="15">
      <c r="A169" s="583" t="s">
        <v>508</v>
      </c>
      <c r="B169" s="584" t="s">
        <v>300</v>
      </c>
      <c r="C169" s="584" t="s">
        <v>156</v>
      </c>
      <c r="D169" s="584" t="s">
        <v>1549</v>
      </c>
      <c r="E169" s="584" t="s">
        <v>100</v>
      </c>
      <c r="F169" s="608">
        <v>49777.52</v>
      </c>
      <c r="G169" s="103"/>
      <c r="H169" s="103"/>
      <c r="I169" s="103">
        <v>50</v>
      </c>
      <c r="J169" s="1">
        <f t="shared" si="0"/>
        <v>0</v>
      </c>
      <c r="K169" s="579" t="s">
        <v>508</v>
      </c>
      <c r="L169" s="580" t="s">
        <v>300</v>
      </c>
      <c r="M169" s="581">
        <v>49777.52</v>
      </c>
      <c r="N169" s="589">
        <v>6953.01</v>
      </c>
      <c r="O169" s="589">
        <v>42824.51</v>
      </c>
      <c r="P169" s="609">
        <v>0</v>
      </c>
    </row>
    <row r="170" spans="1:16" ht="15">
      <c r="A170" s="583" t="s">
        <v>509</v>
      </c>
      <c r="B170" s="584" t="s">
        <v>294</v>
      </c>
      <c r="C170" s="584" t="s">
        <v>156</v>
      </c>
      <c r="D170" s="584" t="s">
        <v>1549</v>
      </c>
      <c r="E170" s="584" t="s">
        <v>100</v>
      </c>
      <c r="F170" s="608">
        <v>-26006.57</v>
      </c>
      <c r="G170" s="103"/>
      <c r="H170" s="103"/>
      <c r="I170" s="103">
        <v>-26</v>
      </c>
      <c r="J170" s="1">
        <f t="shared" si="0"/>
        <v>0</v>
      </c>
      <c r="K170" s="583" t="s">
        <v>509</v>
      </c>
      <c r="L170" s="584" t="s">
        <v>294</v>
      </c>
      <c r="M170" s="585">
        <v>-26006.57</v>
      </c>
      <c r="N170" s="590">
        <v>0</v>
      </c>
      <c r="O170" s="590">
        <v>-26006.57</v>
      </c>
      <c r="P170" s="610">
        <v>0</v>
      </c>
    </row>
    <row r="171" spans="1:16" ht="15">
      <c r="A171" s="583" t="s">
        <v>510</v>
      </c>
      <c r="B171" s="584" t="s">
        <v>511</v>
      </c>
      <c r="C171" s="584" t="s">
        <v>156</v>
      </c>
      <c r="D171" s="584" t="s">
        <v>1549</v>
      </c>
      <c r="E171" s="584" t="s">
        <v>100</v>
      </c>
      <c r="F171" s="608">
        <v>129513.73</v>
      </c>
      <c r="G171" s="103"/>
      <c r="H171" s="103"/>
      <c r="I171" s="103">
        <v>130</v>
      </c>
      <c r="J171" s="1">
        <f t="shared" si="0"/>
        <v>0</v>
      </c>
      <c r="K171" s="579" t="s">
        <v>510</v>
      </c>
      <c r="L171" s="580" t="s">
        <v>511</v>
      </c>
      <c r="M171" s="581">
        <v>129513.73</v>
      </c>
      <c r="N171" s="589">
        <v>24299.14</v>
      </c>
      <c r="O171" s="589">
        <v>105214.59</v>
      </c>
      <c r="P171" s="609">
        <v>0</v>
      </c>
    </row>
    <row r="172" spans="1:16" ht="15">
      <c r="A172" s="583" t="s">
        <v>512</v>
      </c>
      <c r="B172" s="584" t="s">
        <v>513</v>
      </c>
      <c r="C172" s="584" t="s">
        <v>156</v>
      </c>
      <c r="D172" s="584" t="s">
        <v>1549</v>
      </c>
      <c r="E172" s="584" t="s">
        <v>100</v>
      </c>
      <c r="F172" s="608">
        <v>272247.17</v>
      </c>
      <c r="G172" s="103"/>
      <c r="H172" s="103"/>
      <c r="I172" s="103">
        <v>272</v>
      </c>
      <c r="J172" s="1">
        <f t="shared" si="0"/>
        <v>0</v>
      </c>
      <c r="K172" s="583" t="s">
        <v>512</v>
      </c>
      <c r="L172" s="584" t="s">
        <v>513</v>
      </c>
      <c r="M172" s="585">
        <v>272247.17</v>
      </c>
      <c r="N172" s="590">
        <v>61542.44</v>
      </c>
      <c r="O172" s="590">
        <v>210704.73</v>
      </c>
      <c r="P172" s="610">
        <v>0</v>
      </c>
    </row>
    <row r="173" spans="1:16" ht="15">
      <c r="A173" s="583" t="s">
        <v>514</v>
      </c>
      <c r="B173" s="584" t="s">
        <v>515</v>
      </c>
      <c r="C173" s="584" t="s">
        <v>156</v>
      </c>
      <c r="D173" s="584" t="s">
        <v>1549</v>
      </c>
      <c r="E173" s="584" t="s">
        <v>100</v>
      </c>
      <c r="F173" s="608">
        <v>-71605.66</v>
      </c>
      <c r="G173" s="103"/>
      <c r="H173" s="103"/>
      <c r="I173" s="103">
        <v>-72</v>
      </c>
      <c r="J173" s="1">
        <f t="shared" si="0"/>
        <v>0</v>
      </c>
      <c r="K173" s="579" t="s">
        <v>514</v>
      </c>
      <c r="L173" s="580" t="s">
        <v>515</v>
      </c>
      <c r="M173" s="581">
        <v>-71605.66</v>
      </c>
      <c r="N173" s="589">
        <v>-17076.2</v>
      </c>
      <c r="O173" s="589">
        <v>-54529.46</v>
      </c>
      <c r="P173" s="609">
        <v>0</v>
      </c>
    </row>
    <row r="174" spans="1:16" ht="15">
      <c r="A174" s="583" t="s">
        <v>516</v>
      </c>
      <c r="B174" s="584" t="s">
        <v>306</v>
      </c>
      <c r="C174" s="584" t="s">
        <v>156</v>
      </c>
      <c r="D174" s="584" t="s">
        <v>1549</v>
      </c>
      <c r="E174" s="584" t="s">
        <v>100</v>
      </c>
      <c r="F174" s="608">
        <v>29442.03</v>
      </c>
      <c r="G174" s="103"/>
      <c r="H174" s="103"/>
      <c r="I174" s="103">
        <v>29</v>
      </c>
      <c r="J174" s="1">
        <f t="shared" si="0"/>
        <v>0</v>
      </c>
      <c r="K174" s="583" t="s">
        <v>516</v>
      </c>
      <c r="L174" s="584" t="s">
        <v>306</v>
      </c>
      <c r="M174" s="585">
        <v>29442.03</v>
      </c>
      <c r="N174" s="590">
        <v>15052.53</v>
      </c>
      <c r="O174" s="590">
        <v>14389.5</v>
      </c>
      <c r="P174" s="610">
        <v>0</v>
      </c>
    </row>
    <row r="175" spans="1:16" ht="15">
      <c r="A175" s="583" t="s">
        <v>517</v>
      </c>
      <c r="B175" s="584" t="s">
        <v>317</v>
      </c>
      <c r="C175" s="584" t="s">
        <v>156</v>
      </c>
      <c r="D175" s="584" t="s">
        <v>1549</v>
      </c>
      <c r="E175" s="584" t="s">
        <v>100</v>
      </c>
      <c r="F175" s="608">
        <v>34772.449999999997</v>
      </c>
      <c r="G175" s="103"/>
      <c r="H175" s="103"/>
      <c r="I175" s="103">
        <v>35</v>
      </c>
      <c r="J175" s="1">
        <f t="shared" si="0"/>
        <v>0</v>
      </c>
      <c r="K175" s="579" t="s">
        <v>517</v>
      </c>
      <c r="L175" s="580" t="s">
        <v>317</v>
      </c>
      <c r="M175" s="581">
        <v>34772.449999999997</v>
      </c>
      <c r="N175" s="589">
        <v>6943.4</v>
      </c>
      <c r="O175" s="589">
        <v>27829.05</v>
      </c>
      <c r="P175" s="609">
        <v>0</v>
      </c>
    </row>
    <row r="176" spans="1:16" ht="15">
      <c r="A176" s="583" t="s">
        <v>518</v>
      </c>
      <c r="B176" s="584" t="s">
        <v>519</v>
      </c>
      <c r="C176" s="584" t="s">
        <v>156</v>
      </c>
      <c r="D176" s="584" t="s">
        <v>1549</v>
      </c>
      <c r="E176" s="584" t="s">
        <v>100</v>
      </c>
      <c r="F176" s="608">
        <v>131220.16</v>
      </c>
      <c r="G176" s="103"/>
      <c r="H176" s="103"/>
      <c r="I176" s="103">
        <v>131</v>
      </c>
      <c r="J176" s="1">
        <f t="shared" si="0"/>
        <v>0</v>
      </c>
      <c r="K176" s="583" t="s">
        <v>518</v>
      </c>
      <c r="L176" s="584" t="s">
        <v>519</v>
      </c>
      <c r="M176" s="585">
        <v>131220.16</v>
      </c>
      <c r="N176" s="590">
        <v>50212.28</v>
      </c>
      <c r="O176" s="590">
        <v>81007.88</v>
      </c>
      <c r="P176" s="610">
        <v>0</v>
      </c>
    </row>
    <row r="177" spans="1:16" ht="15">
      <c r="A177" s="583" t="s">
        <v>520</v>
      </c>
      <c r="B177" s="584" t="s">
        <v>1558</v>
      </c>
      <c r="C177" s="584" t="s">
        <v>156</v>
      </c>
      <c r="D177" s="584" t="s">
        <v>1549</v>
      </c>
      <c r="E177" s="584" t="s">
        <v>100</v>
      </c>
      <c r="F177" s="608">
        <v>30624.87</v>
      </c>
      <c r="G177" s="103"/>
      <c r="H177" s="103"/>
      <c r="I177" s="103">
        <v>31</v>
      </c>
      <c r="J177" s="1">
        <f t="shared" si="0"/>
        <v>0</v>
      </c>
      <c r="K177" s="579" t="s">
        <v>520</v>
      </c>
      <c r="L177" s="580" t="s">
        <v>1558</v>
      </c>
      <c r="M177" s="581">
        <v>30624.87</v>
      </c>
      <c r="N177" s="589">
        <v>15657.37</v>
      </c>
      <c r="O177" s="589">
        <v>14967.5</v>
      </c>
      <c r="P177" s="609">
        <v>0</v>
      </c>
    </row>
    <row r="178" spans="1:16" ht="15">
      <c r="A178" s="583" t="s">
        <v>522</v>
      </c>
      <c r="B178" s="584" t="s">
        <v>216</v>
      </c>
      <c r="C178" s="584" t="s">
        <v>156</v>
      </c>
      <c r="D178" s="584" t="s">
        <v>1549</v>
      </c>
      <c r="E178" s="584" t="s">
        <v>100</v>
      </c>
      <c r="F178" s="608">
        <v>0</v>
      </c>
      <c r="G178" s="103"/>
      <c r="H178" s="103"/>
      <c r="I178" s="103"/>
      <c r="J178" s="1">
        <f t="shared" si="0"/>
        <v>0</v>
      </c>
      <c r="K178" s="583" t="s">
        <v>522</v>
      </c>
      <c r="L178" s="584" t="s">
        <v>216</v>
      </c>
      <c r="M178" s="585">
        <v>0</v>
      </c>
      <c r="N178" s="590">
        <v>0</v>
      </c>
      <c r="O178" s="590">
        <v>0</v>
      </c>
      <c r="P178" s="610">
        <v>0</v>
      </c>
    </row>
    <row r="179" spans="1:16" ht="15">
      <c r="A179" s="583" t="s">
        <v>523</v>
      </c>
      <c r="B179" s="584" t="s">
        <v>524</v>
      </c>
      <c r="C179" s="584" t="s">
        <v>156</v>
      </c>
      <c r="D179" s="584" t="s">
        <v>1549</v>
      </c>
      <c r="E179" s="584" t="s">
        <v>100</v>
      </c>
      <c r="F179" s="608">
        <v>-12000</v>
      </c>
      <c r="G179" s="103"/>
      <c r="H179" s="103"/>
      <c r="I179" s="103">
        <v>-12</v>
      </c>
      <c r="J179" s="1">
        <f t="shared" si="0"/>
        <v>0</v>
      </c>
      <c r="K179" s="579" t="s">
        <v>523</v>
      </c>
      <c r="L179" s="580" t="s">
        <v>524</v>
      </c>
      <c r="M179" s="581">
        <v>-12000</v>
      </c>
      <c r="N179" s="589">
        <v>-3000</v>
      </c>
      <c r="O179" s="589">
        <v>-9000</v>
      </c>
      <c r="P179" s="609">
        <v>0</v>
      </c>
    </row>
    <row r="180" spans="1:16" ht="15">
      <c r="A180" s="583" t="s">
        <v>525</v>
      </c>
      <c r="B180" s="584" t="s">
        <v>526</v>
      </c>
      <c r="C180" s="584" t="s">
        <v>156</v>
      </c>
      <c r="D180" s="584" t="s">
        <v>1549</v>
      </c>
      <c r="E180" s="584" t="s">
        <v>100</v>
      </c>
      <c r="F180" s="608">
        <v>-106930.95</v>
      </c>
      <c r="G180" s="103"/>
      <c r="H180" s="103"/>
      <c r="I180" s="103">
        <v>-107</v>
      </c>
      <c r="J180" s="1">
        <f t="shared" si="0"/>
        <v>0.5</v>
      </c>
      <c r="K180" s="583" t="s">
        <v>525</v>
      </c>
      <c r="L180" s="584" t="s">
        <v>526</v>
      </c>
      <c r="M180" s="585">
        <v>-106931.45</v>
      </c>
      <c r="N180" s="590">
        <v>104714.06</v>
      </c>
      <c r="O180" s="590">
        <v>-211645.51</v>
      </c>
      <c r="P180" s="610">
        <v>0</v>
      </c>
    </row>
    <row r="181" spans="1:16" ht="15">
      <c r="A181" s="583" t="s">
        <v>527</v>
      </c>
      <c r="B181" s="584" t="s">
        <v>341</v>
      </c>
      <c r="C181" s="584" t="s">
        <v>156</v>
      </c>
      <c r="D181" s="584" t="s">
        <v>1550</v>
      </c>
      <c r="E181" s="584" t="s">
        <v>528</v>
      </c>
      <c r="F181" s="608">
        <v>2823300.04</v>
      </c>
      <c r="G181" s="103"/>
      <c r="H181" s="103"/>
      <c r="I181" s="103"/>
      <c r="J181" s="1">
        <f t="shared" si="0"/>
        <v>0.5</v>
      </c>
      <c r="K181" s="579" t="s">
        <v>527</v>
      </c>
      <c r="L181" s="580" t="s">
        <v>341</v>
      </c>
      <c r="M181" s="581">
        <v>2823299.54</v>
      </c>
      <c r="N181" s="581">
        <v>809475.34</v>
      </c>
      <c r="O181" s="581">
        <v>2013824.2</v>
      </c>
      <c r="P181" s="609">
        <v>0</v>
      </c>
    </row>
    <row r="182" spans="1:16" ht="15">
      <c r="A182" s="583" t="s">
        <v>529</v>
      </c>
      <c r="B182" s="584" t="s">
        <v>530</v>
      </c>
      <c r="C182" s="584" t="s">
        <v>156</v>
      </c>
      <c r="D182" s="584" t="s">
        <v>1548</v>
      </c>
      <c r="E182" s="584" t="s">
        <v>100</v>
      </c>
      <c r="F182" s="608">
        <v>0</v>
      </c>
      <c r="G182" s="103"/>
      <c r="H182" s="103"/>
      <c r="I182" s="103"/>
      <c r="J182" s="1">
        <f t="shared" si="0"/>
        <v>0</v>
      </c>
      <c r="K182" s="583" t="s">
        <v>529</v>
      </c>
      <c r="L182" s="584" t="s">
        <v>530</v>
      </c>
      <c r="M182" s="585">
        <v>0</v>
      </c>
      <c r="N182" s="585">
        <v>0</v>
      </c>
      <c r="O182" s="585">
        <v>0</v>
      </c>
      <c r="P182" s="610">
        <v>0</v>
      </c>
    </row>
    <row r="183" spans="1:16" ht="15">
      <c r="A183" s="583" t="s">
        <v>531</v>
      </c>
      <c r="B183" s="584" t="s">
        <v>532</v>
      </c>
      <c r="C183" s="584" t="s">
        <v>156</v>
      </c>
      <c r="D183" s="584" t="s">
        <v>1549</v>
      </c>
      <c r="E183" s="584" t="s">
        <v>100</v>
      </c>
      <c r="F183" s="608">
        <v>8128.74</v>
      </c>
      <c r="G183" s="103"/>
      <c r="H183" s="103"/>
      <c r="I183" s="103">
        <v>8</v>
      </c>
      <c r="J183" s="1">
        <f t="shared" si="0"/>
        <v>0</v>
      </c>
      <c r="K183" s="579" t="s">
        <v>531</v>
      </c>
      <c r="L183" s="580" t="s">
        <v>532</v>
      </c>
      <c r="M183" s="581">
        <v>8128.74</v>
      </c>
      <c r="N183" s="589">
        <v>107</v>
      </c>
      <c r="O183" s="589">
        <v>8021.74</v>
      </c>
      <c r="P183" s="609">
        <v>0</v>
      </c>
    </row>
    <row r="184" spans="1:16" ht="15">
      <c r="A184" s="583" t="s">
        <v>533</v>
      </c>
      <c r="B184" s="584" t="s">
        <v>534</v>
      </c>
      <c r="C184" s="584" t="s">
        <v>156</v>
      </c>
      <c r="D184" s="584" t="s">
        <v>1549</v>
      </c>
      <c r="E184" s="584" t="s">
        <v>100</v>
      </c>
      <c r="F184" s="608">
        <v>14806.1</v>
      </c>
      <c r="G184" s="103">
        <v>619.49</v>
      </c>
      <c r="H184" s="103"/>
      <c r="I184" s="103">
        <v>15</v>
      </c>
      <c r="J184" s="1">
        <f t="shared" si="0"/>
        <v>0</v>
      </c>
      <c r="K184" s="583" t="s">
        <v>533</v>
      </c>
      <c r="L184" s="584" t="s">
        <v>534</v>
      </c>
      <c r="M184" s="585">
        <v>14806.1</v>
      </c>
      <c r="N184" s="590">
        <v>2123.85</v>
      </c>
      <c r="O184" s="590">
        <v>12682.25</v>
      </c>
      <c r="P184" s="610">
        <v>0</v>
      </c>
    </row>
    <row r="185" spans="1:16" ht="15">
      <c r="A185" s="583" t="s">
        <v>535</v>
      </c>
      <c r="B185" s="584" t="s">
        <v>536</v>
      </c>
      <c r="C185" s="584" t="s">
        <v>156</v>
      </c>
      <c r="D185" s="584" t="s">
        <v>1549</v>
      </c>
      <c r="E185" s="584" t="s">
        <v>100</v>
      </c>
      <c r="F185" s="608">
        <v>18210.47</v>
      </c>
      <c r="G185" s="103">
        <v>-619.49</v>
      </c>
      <c r="H185" s="103"/>
      <c r="I185" s="103">
        <v>18</v>
      </c>
      <c r="J185" s="1">
        <f t="shared" si="0"/>
        <v>0</v>
      </c>
      <c r="K185" s="579" t="s">
        <v>535</v>
      </c>
      <c r="L185" s="580" t="s">
        <v>536</v>
      </c>
      <c r="M185" s="581">
        <v>18210.47</v>
      </c>
      <c r="N185" s="581">
        <v>0</v>
      </c>
      <c r="O185" s="589">
        <v>18210.47</v>
      </c>
      <c r="P185" s="609">
        <v>0</v>
      </c>
    </row>
    <row r="186" spans="1:16" ht="15">
      <c r="A186" s="583" t="s">
        <v>537</v>
      </c>
      <c r="B186" s="584" t="s">
        <v>538</v>
      </c>
      <c r="C186" s="584" t="s">
        <v>156</v>
      </c>
      <c r="D186" s="584" t="s">
        <v>1549</v>
      </c>
      <c r="E186" s="584" t="s">
        <v>100</v>
      </c>
      <c r="F186" s="608">
        <v>0</v>
      </c>
      <c r="G186" s="103"/>
      <c r="H186" s="103"/>
      <c r="I186" s="103"/>
      <c r="J186" s="1">
        <f t="shared" si="0"/>
        <v>0</v>
      </c>
      <c r="K186" s="583" t="s">
        <v>537</v>
      </c>
      <c r="L186" s="584" t="s">
        <v>538</v>
      </c>
      <c r="M186" s="585">
        <v>0</v>
      </c>
      <c r="N186" s="585">
        <v>0</v>
      </c>
      <c r="O186" s="585">
        <v>0</v>
      </c>
      <c r="P186" s="610">
        <v>0</v>
      </c>
    </row>
    <row r="187" spans="1:16" ht="15">
      <c r="A187" s="583" t="s">
        <v>539</v>
      </c>
      <c r="B187" s="584" t="s">
        <v>540</v>
      </c>
      <c r="C187" s="584" t="s">
        <v>156</v>
      </c>
      <c r="D187" s="584" t="s">
        <v>1549</v>
      </c>
      <c r="E187" s="584" t="s">
        <v>100</v>
      </c>
      <c r="F187" s="608">
        <v>323035.38</v>
      </c>
      <c r="G187" s="103"/>
      <c r="H187" s="103"/>
      <c r="I187" s="103">
        <v>323</v>
      </c>
      <c r="J187" s="1">
        <f t="shared" si="0"/>
        <v>0</v>
      </c>
      <c r="K187" s="579" t="s">
        <v>539</v>
      </c>
      <c r="L187" s="580" t="s">
        <v>540</v>
      </c>
      <c r="M187" s="581">
        <v>323035.38</v>
      </c>
      <c r="N187" s="589">
        <v>109343.13</v>
      </c>
      <c r="O187" s="589">
        <v>213692.25</v>
      </c>
      <c r="P187" s="609">
        <v>0</v>
      </c>
    </row>
    <row r="188" spans="1:16" ht="15">
      <c r="A188" s="583" t="s">
        <v>541</v>
      </c>
      <c r="B188" s="584" t="s">
        <v>542</v>
      </c>
      <c r="C188" s="584" t="s">
        <v>156</v>
      </c>
      <c r="D188" s="584" t="s">
        <v>1549</v>
      </c>
      <c r="E188" s="584" t="s">
        <v>100</v>
      </c>
      <c r="F188" s="608">
        <v>0</v>
      </c>
      <c r="G188" s="103"/>
      <c r="H188" s="103"/>
      <c r="I188" s="103"/>
      <c r="J188" s="1">
        <f t="shared" si="0"/>
        <v>0</v>
      </c>
      <c r="K188" s="583" t="s">
        <v>541</v>
      </c>
      <c r="L188" s="584" t="s">
        <v>542</v>
      </c>
      <c r="M188" s="585">
        <v>0</v>
      </c>
      <c r="N188" s="585">
        <v>0</v>
      </c>
      <c r="O188" s="585">
        <v>0</v>
      </c>
      <c r="P188" s="610">
        <v>0</v>
      </c>
    </row>
    <row r="189" spans="1:16" ht="15">
      <c r="A189" s="583" t="s">
        <v>543</v>
      </c>
      <c r="B189" s="584" t="s">
        <v>544</v>
      </c>
      <c r="C189" s="584" t="s">
        <v>156</v>
      </c>
      <c r="D189" s="584" t="s">
        <v>1549</v>
      </c>
      <c r="E189" s="584" t="s">
        <v>100</v>
      </c>
      <c r="F189" s="608">
        <v>46201.64</v>
      </c>
      <c r="G189" s="103"/>
      <c r="H189" s="103"/>
      <c r="I189" s="103">
        <v>46</v>
      </c>
      <c r="J189" s="1">
        <f t="shared" si="0"/>
        <v>0</v>
      </c>
      <c r="K189" s="579" t="s">
        <v>543</v>
      </c>
      <c r="L189" s="580" t="s">
        <v>544</v>
      </c>
      <c r="M189" s="581">
        <v>46201.64</v>
      </c>
      <c r="N189" s="589">
        <v>31559.61</v>
      </c>
      <c r="O189" s="589">
        <v>14642.03</v>
      </c>
      <c r="P189" s="609">
        <v>0</v>
      </c>
    </row>
    <row r="190" spans="1:16" ht="15">
      <c r="A190" s="583" t="s">
        <v>545</v>
      </c>
      <c r="B190" s="584" t="s">
        <v>546</v>
      </c>
      <c r="C190" s="584" t="s">
        <v>156</v>
      </c>
      <c r="D190" s="584" t="s">
        <v>1549</v>
      </c>
      <c r="E190" s="584" t="s">
        <v>100</v>
      </c>
      <c r="F190" s="608">
        <v>37047</v>
      </c>
      <c r="G190" s="103"/>
      <c r="H190" s="103"/>
      <c r="I190" s="103">
        <v>37</v>
      </c>
      <c r="J190" s="1">
        <f t="shared" si="0"/>
        <v>0</v>
      </c>
      <c r="K190" s="583" t="s">
        <v>545</v>
      </c>
      <c r="L190" s="584" t="s">
        <v>546</v>
      </c>
      <c r="M190" s="585">
        <v>37047</v>
      </c>
      <c r="N190" s="590">
        <v>2287.5</v>
      </c>
      <c r="O190" s="590">
        <v>34759.5</v>
      </c>
      <c r="P190" s="610">
        <v>0</v>
      </c>
    </row>
    <row r="191" spans="1:16" ht="15">
      <c r="A191" s="583" t="s">
        <v>547</v>
      </c>
      <c r="B191" s="584" t="s">
        <v>548</v>
      </c>
      <c r="C191" s="584" t="s">
        <v>156</v>
      </c>
      <c r="D191" s="584" t="s">
        <v>1550</v>
      </c>
      <c r="E191" s="584" t="s">
        <v>549</v>
      </c>
      <c r="F191" s="608">
        <v>447429.33</v>
      </c>
      <c r="G191" s="103"/>
      <c r="H191" s="103"/>
      <c r="I191" s="103"/>
      <c r="J191" s="17">
        <f t="shared" si="0"/>
        <v>0</v>
      </c>
      <c r="K191" s="579" t="s">
        <v>547</v>
      </c>
      <c r="L191" s="580" t="s">
        <v>548</v>
      </c>
      <c r="M191" s="581">
        <v>447429.33</v>
      </c>
      <c r="N191" s="581">
        <v>145421.09</v>
      </c>
      <c r="O191" s="581">
        <v>302008.24</v>
      </c>
      <c r="P191" s="609">
        <v>0</v>
      </c>
    </row>
    <row r="192" spans="1:16" ht="15">
      <c r="A192" s="583" t="s">
        <v>550</v>
      </c>
      <c r="B192" s="584" t="s">
        <v>551</v>
      </c>
      <c r="C192" s="584" t="s">
        <v>156</v>
      </c>
      <c r="D192" s="584" t="s">
        <v>1548</v>
      </c>
      <c r="E192" s="584" t="s">
        <v>100</v>
      </c>
      <c r="F192" s="608">
        <v>0</v>
      </c>
      <c r="G192" s="103"/>
      <c r="H192" s="103"/>
      <c r="I192" s="103"/>
      <c r="J192" s="17">
        <f t="shared" si="0"/>
        <v>0</v>
      </c>
      <c r="K192" s="583" t="s">
        <v>550</v>
      </c>
      <c r="L192" s="584" t="s">
        <v>551</v>
      </c>
      <c r="M192" s="585">
        <v>0</v>
      </c>
      <c r="N192" s="585">
        <v>0</v>
      </c>
      <c r="O192" s="585">
        <v>0</v>
      </c>
      <c r="P192" s="610">
        <v>0</v>
      </c>
    </row>
    <row r="193" spans="1:16" ht="15">
      <c r="A193" s="583" t="s">
        <v>552</v>
      </c>
      <c r="B193" s="584" t="s">
        <v>553</v>
      </c>
      <c r="C193" s="584" t="s">
        <v>156</v>
      </c>
      <c r="D193" s="584" t="s">
        <v>1549</v>
      </c>
      <c r="E193" s="584" t="s">
        <v>100</v>
      </c>
      <c r="F193" s="608">
        <v>45887.5</v>
      </c>
      <c r="G193" s="103"/>
      <c r="H193" s="103"/>
      <c r="I193" s="103">
        <v>46</v>
      </c>
      <c r="J193" s="17">
        <f t="shared" si="0"/>
        <v>0</v>
      </c>
      <c r="K193" s="579" t="s">
        <v>552</v>
      </c>
      <c r="L193" s="580" t="s">
        <v>553</v>
      </c>
      <c r="M193" s="581">
        <v>45887.5</v>
      </c>
      <c r="N193" s="589">
        <v>45887.5</v>
      </c>
      <c r="O193" s="581">
        <v>0</v>
      </c>
      <c r="P193" s="609">
        <v>0</v>
      </c>
    </row>
    <row r="194" spans="1:16" ht="15">
      <c r="A194" s="583" t="s">
        <v>554</v>
      </c>
      <c r="B194" s="584" t="s">
        <v>555</v>
      </c>
      <c r="C194" s="584" t="s">
        <v>156</v>
      </c>
      <c r="D194" s="584" t="s">
        <v>1549</v>
      </c>
      <c r="E194" s="584" t="s">
        <v>100</v>
      </c>
      <c r="F194" s="608">
        <v>100183.31</v>
      </c>
      <c r="G194" s="103"/>
      <c r="H194" s="103"/>
      <c r="I194" s="103">
        <v>100</v>
      </c>
      <c r="J194" s="17">
        <f t="shared" si="0"/>
        <v>0</v>
      </c>
      <c r="K194" s="583" t="s">
        <v>554</v>
      </c>
      <c r="L194" s="584" t="s">
        <v>555</v>
      </c>
      <c r="M194" s="585">
        <v>100183.31</v>
      </c>
      <c r="N194" s="590">
        <v>64006.48</v>
      </c>
      <c r="O194" s="590">
        <v>36176.83</v>
      </c>
      <c r="P194" s="610">
        <v>0</v>
      </c>
    </row>
    <row r="195" spans="1:16" ht="15">
      <c r="A195" s="583" t="s">
        <v>556</v>
      </c>
      <c r="B195" s="584" t="s">
        <v>1580</v>
      </c>
      <c r="C195" s="584" t="s">
        <v>156</v>
      </c>
      <c r="D195" s="584" t="s">
        <v>1549</v>
      </c>
      <c r="E195" s="584" t="s">
        <v>100</v>
      </c>
      <c r="F195" s="608">
        <v>818051.57</v>
      </c>
      <c r="G195" s="103"/>
      <c r="H195" s="103"/>
      <c r="I195" s="103">
        <v>818</v>
      </c>
      <c r="J195" s="17">
        <f t="shared" si="0"/>
        <v>0</v>
      </c>
      <c r="K195" s="579" t="s">
        <v>556</v>
      </c>
      <c r="L195" s="580" t="s">
        <v>1580</v>
      </c>
      <c r="M195" s="581">
        <v>818051.57</v>
      </c>
      <c r="N195" s="589">
        <v>279450.40000000002</v>
      </c>
      <c r="O195" s="589">
        <v>538601.17000000004</v>
      </c>
      <c r="P195" s="609">
        <v>0</v>
      </c>
    </row>
    <row r="196" spans="1:16" ht="15">
      <c r="A196" s="583" t="s">
        <v>558</v>
      </c>
      <c r="B196" s="584" t="s">
        <v>559</v>
      </c>
      <c r="C196" s="584" t="s">
        <v>156</v>
      </c>
      <c r="D196" s="584" t="s">
        <v>1549</v>
      </c>
      <c r="E196" s="584" t="s">
        <v>100</v>
      </c>
      <c r="F196" s="608">
        <v>44826.66</v>
      </c>
      <c r="G196" s="103"/>
      <c r="H196" s="103"/>
      <c r="I196" s="103">
        <v>45</v>
      </c>
      <c r="J196" s="17">
        <f t="shared" si="0"/>
        <v>0</v>
      </c>
      <c r="K196" s="583" t="s">
        <v>558</v>
      </c>
      <c r="L196" s="584" t="s">
        <v>559</v>
      </c>
      <c r="M196" s="585">
        <v>44826.66</v>
      </c>
      <c r="N196" s="590">
        <v>26592.240000000002</v>
      </c>
      <c r="O196" s="590">
        <v>18234.419999999998</v>
      </c>
      <c r="P196" s="610">
        <v>0</v>
      </c>
    </row>
    <row r="197" spans="1:16" ht="15">
      <c r="A197" s="583" t="s">
        <v>560</v>
      </c>
      <c r="B197" s="584" t="s">
        <v>561</v>
      </c>
      <c r="C197" s="584" t="s">
        <v>156</v>
      </c>
      <c r="D197" s="584" t="s">
        <v>1549</v>
      </c>
      <c r="E197" s="584" t="s">
        <v>100</v>
      </c>
      <c r="F197" s="608">
        <v>33963.78</v>
      </c>
      <c r="G197" s="103"/>
      <c r="H197" s="103"/>
      <c r="I197" s="103">
        <v>34</v>
      </c>
      <c r="J197" s="1">
        <f t="shared" si="0"/>
        <v>0</v>
      </c>
      <c r="K197" s="579" t="s">
        <v>560</v>
      </c>
      <c r="L197" s="580" t="s">
        <v>561</v>
      </c>
      <c r="M197" s="581">
        <v>33963.78</v>
      </c>
      <c r="N197" s="589">
        <v>29605.21</v>
      </c>
      <c r="O197" s="589">
        <v>4358.57</v>
      </c>
      <c r="P197" s="609">
        <v>0</v>
      </c>
    </row>
    <row r="198" spans="1:16" ht="15">
      <c r="A198" s="583" t="s">
        <v>562</v>
      </c>
      <c r="B198" s="584" t="s">
        <v>563</v>
      </c>
      <c r="C198" s="584" t="s">
        <v>156</v>
      </c>
      <c r="D198" s="584" t="s">
        <v>1549</v>
      </c>
      <c r="E198" s="584" t="s">
        <v>100</v>
      </c>
      <c r="F198" s="608">
        <v>164690.76999999999</v>
      </c>
      <c r="G198" s="103">
        <v>-4375</v>
      </c>
      <c r="H198" s="103">
        <v>-4</v>
      </c>
      <c r="I198" s="103">
        <f>165+H198</f>
        <v>161</v>
      </c>
      <c r="J198" s="1">
        <f t="shared" si="0"/>
        <v>0</v>
      </c>
      <c r="K198" s="583" t="s">
        <v>562</v>
      </c>
      <c r="L198" s="584" t="s">
        <v>563</v>
      </c>
      <c r="M198" s="585">
        <v>164690.76999999999</v>
      </c>
      <c r="N198" s="585">
        <v>0</v>
      </c>
      <c r="O198" s="590">
        <v>164690.76999999999</v>
      </c>
      <c r="P198" s="610">
        <v>0</v>
      </c>
    </row>
    <row r="199" spans="1:16" ht="15">
      <c r="A199" s="583" t="s">
        <v>564</v>
      </c>
      <c r="B199" s="584" t="s">
        <v>565</v>
      </c>
      <c r="C199" s="584" t="s">
        <v>156</v>
      </c>
      <c r="D199" s="584" t="s">
        <v>1549</v>
      </c>
      <c r="E199" s="584" t="s">
        <v>100</v>
      </c>
      <c r="F199" s="608">
        <v>0</v>
      </c>
      <c r="G199" s="103"/>
      <c r="H199" s="103"/>
      <c r="I199" s="103"/>
      <c r="J199" s="1">
        <f t="shared" si="0"/>
        <v>0</v>
      </c>
      <c r="K199" s="579" t="s">
        <v>564</v>
      </c>
      <c r="L199" s="580" t="s">
        <v>565</v>
      </c>
      <c r="M199" s="581">
        <v>0</v>
      </c>
      <c r="N199" s="581">
        <v>0</v>
      </c>
      <c r="O199" s="581">
        <v>0</v>
      </c>
      <c r="P199" s="609">
        <v>0</v>
      </c>
    </row>
    <row r="200" spans="1:16" ht="15">
      <c r="A200" s="583" t="s">
        <v>1581</v>
      </c>
      <c r="B200" s="584" t="s">
        <v>1582</v>
      </c>
      <c r="C200" s="584" t="s">
        <v>156</v>
      </c>
      <c r="D200" s="584" t="s">
        <v>1549</v>
      </c>
      <c r="E200" s="584" t="s">
        <v>100</v>
      </c>
      <c r="F200" s="608">
        <v>-91051</v>
      </c>
      <c r="G200" s="103">
        <v>91051</v>
      </c>
      <c r="H200" s="103">
        <v>91</v>
      </c>
      <c r="I200" s="103">
        <f>-91+H200</f>
        <v>0</v>
      </c>
      <c r="J200" s="1">
        <f t="shared" si="0"/>
        <v>-182102</v>
      </c>
      <c r="K200" s="583" t="s">
        <v>1581</v>
      </c>
      <c r="L200" s="584" t="s">
        <v>1582</v>
      </c>
      <c r="M200" s="585">
        <v>91051</v>
      </c>
      <c r="N200" s="585">
        <v>0</v>
      </c>
      <c r="O200" s="590">
        <v>74754</v>
      </c>
      <c r="P200" s="610">
        <v>16297</v>
      </c>
    </row>
    <row r="201" spans="1:16" ht="15">
      <c r="A201" s="583" t="s">
        <v>566</v>
      </c>
      <c r="B201" s="584" t="s">
        <v>567</v>
      </c>
      <c r="C201" s="584" t="s">
        <v>156</v>
      </c>
      <c r="D201" s="584" t="s">
        <v>1550</v>
      </c>
      <c r="E201" s="584" t="s">
        <v>568</v>
      </c>
      <c r="F201" s="608">
        <v>1116552.5900000001</v>
      </c>
      <c r="G201" s="103"/>
      <c r="H201" s="103"/>
      <c r="I201" s="103"/>
      <c r="J201" s="1">
        <f t="shared" si="0"/>
        <v>0</v>
      </c>
      <c r="K201" s="579" t="s">
        <v>566</v>
      </c>
      <c r="L201" s="580" t="s">
        <v>567</v>
      </c>
      <c r="M201" s="581">
        <v>1116552.5900000001</v>
      </c>
      <c r="N201" s="581">
        <v>445541.83</v>
      </c>
      <c r="O201" s="581">
        <v>687307.76</v>
      </c>
      <c r="P201" s="609">
        <v>16297</v>
      </c>
    </row>
    <row r="202" spans="1:16" ht="15">
      <c r="A202" s="583" t="s">
        <v>569</v>
      </c>
      <c r="B202" s="584" t="s">
        <v>570</v>
      </c>
      <c r="C202" s="584" t="s">
        <v>156</v>
      </c>
      <c r="D202" s="584" t="s">
        <v>1548</v>
      </c>
      <c r="E202" s="584" t="s">
        <v>100</v>
      </c>
      <c r="F202" s="608">
        <v>0</v>
      </c>
      <c r="G202" s="103"/>
      <c r="H202" s="103"/>
      <c r="I202" s="103"/>
      <c r="J202" s="1">
        <f t="shared" si="0"/>
        <v>0</v>
      </c>
      <c r="K202" s="583" t="s">
        <v>569</v>
      </c>
      <c r="L202" s="584" t="s">
        <v>570</v>
      </c>
      <c r="M202" s="585">
        <v>0</v>
      </c>
      <c r="N202" s="585">
        <v>0</v>
      </c>
      <c r="O202" s="585">
        <v>0</v>
      </c>
      <c r="P202" s="610">
        <v>0</v>
      </c>
    </row>
    <row r="203" spans="1:16" ht="15">
      <c r="A203" s="583" t="s">
        <v>571</v>
      </c>
      <c r="B203" s="584" t="s">
        <v>572</v>
      </c>
      <c r="C203" s="584" t="s">
        <v>156</v>
      </c>
      <c r="D203" s="584" t="s">
        <v>1549</v>
      </c>
      <c r="E203" s="584" t="s">
        <v>100</v>
      </c>
      <c r="F203" s="608">
        <v>5953.23</v>
      </c>
      <c r="G203" s="103"/>
      <c r="H203" s="103"/>
      <c r="I203" s="103">
        <v>6</v>
      </c>
      <c r="J203" s="1">
        <f t="shared" si="0"/>
        <v>0</v>
      </c>
      <c r="K203" s="579" t="s">
        <v>571</v>
      </c>
      <c r="L203" s="580" t="s">
        <v>572</v>
      </c>
      <c r="M203" s="581">
        <v>5953.23</v>
      </c>
      <c r="N203" s="581">
        <v>0</v>
      </c>
      <c r="O203" s="589">
        <v>5953.23</v>
      </c>
      <c r="P203" s="609">
        <v>0</v>
      </c>
    </row>
    <row r="204" spans="1:16" ht="15">
      <c r="A204" s="583" t="s">
        <v>573</v>
      </c>
      <c r="B204" s="584" t="s">
        <v>574</v>
      </c>
      <c r="C204" s="584" t="s">
        <v>156</v>
      </c>
      <c r="D204" s="584" t="s">
        <v>1549</v>
      </c>
      <c r="E204" s="584" t="s">
        <v>100</v>
      </c>
      <c r="F204" s="608">
        <v>12000</v>
      </c>
      <c r="G204" s="103"/>
      <c r="H204" s="103"/>
      <c r="I204" s="103">
        <v>12</v>
      </c>
      <c r="J204" s="1">
        <f t="shared" si="0"/>
        <v>0</v>
      </c>
      <c r="K204" s="583" t="s">
        <v>573</v>
      </c>
      <c r="L204" s="584" t="s">
        <v>574</v>
      </c>
      <c r="M204" s="585">
        <v>12000</v>
      </c>
      <c r="N204" s="590">
        <v>12000</v>
      </c>
      <c r="O204" s="585">
        <v>0</v>
      </c>
      <c r="P204" s="610">
        <v>0</v>
      </c>
    </row>
    <row r="205" spans="1:16" ht="15">
      <c r="A205" s="583" t="s">
        <v>575</v>
      </c>
      <c r="B205" s="584" t="s">
        <v>576</v>
      </c>
      <c r="C205" s="584" t="s">
        <v>156</v>
      </c>
      <c r="D205" s="584" t="s">
        <v>1550</v>
      </c>
      <c r="E205" s="584" t="s">
        <v>577</v>
      </c>
      <c r="F205" s="608">
        <v>17953.23</v>
      </c>
      <c r="G205" s="103"/>
      <c r="H205" s="103"/>
      <c r="I205" s="103"/>
      <c r="J205" s="1">
        <f t="shared" si="0"/>
        <v>0</v>
      </c>
      <c r="K205" s="579" t="s">
        <v>575</v>
      </c>
      <c r="L205" s="580" t="s">
        <v>576</v>
      </c>
      <c r="M205" s="581">
        <v>17953.23</v>
      </c>
      <c r="N205" s="581">
        <v>12000</v>
      </c>
      <c r="O205" s="581">
        <v>5953.23</v>
      </c>
      <c r="P205" s="609">
        <v>0</v>
      </c>
    </row>
    <row r="206" spans="1:16" ht="15">
      <c r="A206" s="583" t="s">
        <v>578</v>
      </c>
      <c r="B206" s="584" t="s">
        <v>579</v>
      </c>
      <c r="C206" s="584" t="s">
        <v>156</v>
      </c>
      <c r="D206" s="584" t="s">
        <v>1548</v>
      </c>
      <c r="E206" s="584" t="s">
        <v>100</v>
      </c>
      <c r="F206" s="608">
        <v>0</v>
      </c>
      <c r="G206" s="103"/>
      <c r="H206" s="103"/>
      <c r="I206" s="103"/>
      <c r="J206" s="1">
        <f t="shared" si="0"/>
        <v>0</v>
      </c>
      <c r="K206" s="583" t="s">
        <v>578</v>
      </c>
      <c r="L206" s="584" t="s">
        <v>579</v>
      </c>
      <c r="M206" s="585">
        <v>0</v>
      </c>
      <c r="N206" s="585">
        <v>0</v>
      </c>
      <c r="O206" s="585">
        <v>0</v>
      </c>
      <c r="P206" s="610">
        <v>0</v>
      </c>
    </row>
    <row r="207" spans="1:16" ht="15">
      <c r="A207" s="583" t="s">
        <v>580</v>
      </c>
      <c r="B207" s="584" t="s">
        <v>581</v>
      </c>
      <c r="C207" s="584" t="s">
        <v>156</v>
      </c>
      <c r="D207" s="584" t="s">
        <v>1549</v>
      </c>
      <c r="E207" s="584" t="s">
        <v>100</v>
      </c>
      <c r="F207" s="608">
        <v>74356.25</v>
      </c>
      <c r="G207" s="103"/>
      <c r="H207" s="103"/>
      <c r="I207" s="103">
        <v>74</v>
      </c>
      <c r="J207" s="1">
        <f t="shared" si="0"/>
        <v>0</v>
      </c>
      <c r="K207" s="579" t="s">
        <v>580</v>
      </c>
      <c r="L207" s="580" t="s">
        <v>581</v>
      </c>
      <c r="M207" s="581">
        <v>74356.25</v>
      </c>
      <c r="N207" s="589">
        <v>74356.25</v>
      </c>
      <c r="O207" s="581">
        <v>0</v>
      </c>
      <c r="P207" s="609">
        <v>0</v>
      </c>
    </row>
    <row r="208" spans="1:16" ht="15">
      <c r="A208" s="583" t="s">
        <v>582</v>
      </c>
      <c r="B208" s="584" t="s">
        <v>583</v>
      </c>
      <c r="C208" s="584" t="s">
        <v>156</v>
      </c>
      <c r="D208" s="584" t="s">
        <v>1549</v>
      </c>
      <c r="E208" s="584" t="s">
        <v>100</v>
      </c>
      <c r="F208" s="608">
        <v>200907.05</v>
      </c>
      <c r="G208" s="103"/>
      <c r="H208" s="103"/>
      <c r="I208" s="103">
        <v>201</v>
      </c>
      <c r="J208" s="1">
        <f t="shared" si="0"/>
        <v>0</v>
      </c>
      <c r="K208" s="583" t="s">
        <v>582</v>
      </c>
      <c r="L208" s="584" t="s">
        <v>583</v>
      </c>
      <c r="M208" s="585">
        <v>200907.05</v>
      </c>
      <c r="N208" s="590">
        <v>200907.05</v>
      </c>
      <c r="O208" s="585">
        <v>0</v>
      </c>
      <c r="P208" s="610">
        <v>0</v>
      </c>
    </row>
    <row r="209" spans="1:16" ht="15">
      <c r="A209" s="583" t="s">
        <v>584</v>
      </c>
      <c r="B209" s="584" t="s">
        <v>585</v>
      </c>
      <c r="C209" s="584" t="s">
        <v>156</v>
      </c>
      <c r="D209" s="584" t="s">
        <v>1549</v>
      </c>
      <c r="E209" s="584" t="s">
        <v>100</v>
      </c>
      <c r="F209" s="608">
        <v>-57409.27</v>
      </c>
      <c r="G209" s="103"/>
      <c r="H209" s="103"/>
      <c r="I209" s="103">
        <v>-57</v>
      </c>
      <c r="J209" s="1">
        <f t="shared" si="0"/>
        <v>0</v>
      </c>
      <c r="K209" s="579" t="s">
        <v>584</v>
      </c>
      <c r="L209" s="580" t="s">
        <v>585</v>
      </c>
      <c r="M209" s="581">
        <v>-57409.27</v>
      </c>
      <c r="N209" s="589">
        <v>-57409.27</v>
      </c>
      <c r="O209" s="581">
        <v>0</v>
      </c>
      <c r="P209" s="609">
        <v>0</v>
      </c>
    </row>
    <row r="210" spans="1:16" ht="15">
      <c r="A210" s="583" t="s">
        <v>586</v>
      </c>
      <c r="B210" s="584" t="s">
        <v>587</v>
      </c>
      <c r="C210" s="584" t="s">
        <v>156</v>
      </c>
      <c r="D210" s="584" t="s">
        <v>1549</v>
      </c>
      <c r="E210" s="584" t="s">
        <v>100</v>
      </c>
      <c r="F210" s="608">
        <v>1111722.3999999999</v>
      </c>
      <c r="G210" s="103">
        <v>-3499.13</v>
      </c>
      <c r="H210" s="103">
        <v>-3</v>
      </c>
      <c r="I210" s="103">
        <f>1112+H210</f>
        <v>1109</v>
      </c>
      <c r="J210" s="1">
        <f t="shared" si="0"/>
        <v>0</v>
      </c>
      <c r="K210" s="583" t="s">
        <v>586</v>
      </c>
      <c r="L210" s="584" t="s">
        <v>587</v>
      </c>
      <c r="M210" s="585">
        <v>1111722.3999999999</v>
      </c>
      <c r="N210" s="585">
        <v>0</v>
      </c>
      <c r="O210" s="590">
        <v>1111722.3999999999</v>
      </c>
      <c r="P210" s="610">
        <v>0</v>
      </c>
    </row>
    <row r="211" spans="1:16" ht="15">
      <c r="A211" s="583" t="s">
        <v>588</v>
      </c>
      <c r="B211" s="584" t="s">
        <v>1583</v>
      </c>
      <c r="C211" s="584" t="s">
        <v>156</v>
      </c>
      <c r="D211" s="584" t="s">
        <v>1549</v>
      </c>
      <c r="E211" s="584" t="s">
        <v>100</v>
      </c>
      <c r="F211" s="608">
        <v>0</v>
      </c>
      <c r="G211" s="103"/>
      <c r="H211" s="103"/>
      <c r="I211" s="103"/>
      <c r="J211" s="1">
        <f t="shared" si="0"/>
        <v>0</v>
      </c>
      <c r="K211" s="579" t="s">
        <v>588</v>
      </c>
      <c r="L211" s="580" t="s">
        <v>1583</v>
      </c>
      <c r="M211" s="581">
        <v>0</v>
      </c>
      <c r="N211" s="581">
        <v>0</v>
      </c>
      <c r="O211" s="581">
        <v>0</v>
      </c>
      <c r="P211" s="609">
        <v>0</v>
      </c>
    </row>
    <row r="212" spans="1:16" ht="15">
      <c r="A212" s="583" t="s">
        <v>590</v>
      </c>
      <c r="B212" s="584" t="s">
        <v>591</v>
      </c>
      <c r="C212" s="584" t="s">
        <v>156</v>
      </c>
      <c r="D212" s="584" t="s">
        <v>1549</v>
      </c>
      <c r="E212" s="584" t="s">
        <v>100</v>
      </c>
      <c r="F212" s="608">
        <v>21929.8</v>
      </c>
      <c r="G212" s="103"/>
      <c r="H212" s="103"/>
      <c r="I212" s="103">
        <v>22</v>
      </c>
      <c r="J212" s="1">
        <f t="shared" si="0"/>
        <v>0</v>
      </c>
      <c r="K212" s="583" t="s">
        <v>590</v>
      </c>
      <c r="L212" s="584" t="s">
        <v>591</v>
      </c>
      <c r="M212" s="585">
        <v>21929.8</v>
      </c>
      <c r="N212" s="590">
        <v>21929.8</v>
      </c>
      <c r="O212" s="585">
        <v>0</v>
      </c>
      <c r="P212" s="610">
        <v>0</v>
      </c>
    </row>
    <row r="213" spans="1:16" ht="15">
      <c r="A213" s="583" t="s">
        <v>592</v>
      </c>
      <c r="B213" s="584" t="s">
        <v>593</v>
      </c>
      <c r="C213" s="584" t="s">
        <v>156</v>
      </c>
      <c r="D213" s="584" t="s">
        <v>1549</v>
      </c>
      <c r="E213" s="584" t="s">
        <v>100</v>
      </c>
      <c r="F213" s="608">
        <v>14210.72</v>
      </c>
      <c r="G213" s="103"/>
      <c r="H213" s="103"/>
      <c r="I213" s="103">
        <v>14</v>
      </c>
      <c r="J213" s="1">
        <f t="shared" si="0"/>
        <v>0</v>
      </c>
      <c r="K213" s="579" t="s">
        <v>592</v>
      </c>
      <c r="L213" s="580" t="s">
        <v>593</v>
      </c>
      <c r="M213" s="581">
        <v>14210.72</v>
      </c>
      <c r="N213" s="589">
        <v>14210.72</v>
      </c>
      <c r="O213" s="581">
        <v>0</v>
      </c>
      <c r="P213" s="609">
        <v>0</v>
      </c>
    </row>
    <row r="214" spans="1:16" ht="15">
      <c r="A214" s="583" t="s">
        <v>594</v>
      </c>
      <c r="B214" s="584" t="s">
        <v>595</v>
      </c>
      <c r="C214" s="584" t="s">
        <v>156</v>
      </c>
      <c r="D214" s="584" t="s">
        <v>1550</v>
      </c>
      <c r="E214" s="584" t="s">
        <v>596</v>
      </c>
      <c r="F214" s="608">
        <v>1365716.95</v>
      </c>
      <c r="G214" s="103"/>
      <c r="H214" s="103"/>
      <c r="I214" s="103"/>
      <c r="J214" s="1">
        <f t="shared" si="0"/>
        <v>0</v>
      </c>
      <c r="K214" s="583" t="s">
        <v>594</v>
      </c>
      <c r="L214" s="584" t="s">
        <v>595</v>
      </c>
      <c r="M214" s="585">
        <v>1365716.95</v>
      </c>
      <c r="N214" s="585">
        <v>253994.55</v>
      </c>
      <c r="O214" s="585">
        <v>1111722.3999999999</v>
      </c>
      <c r="P214" s="610">
        <v>0</v>
      </c>
    </row>
    <row r="215" spans="1:16" ht="15">
      <c r="A215" s="583" t="s">
        <v>597</v>
      </c>
      <c r="B215" s="584" t="s">
        <v>595</v>
      </c>
      <c r="C215" s="584" t="s">
        <v>156</v>
      </c>
      <c r="D215" s="584" t="s">
        <v>1584</v>
      </c>
      <c r="E215" s="584" t="s">
        <v>100</v>
      </c>
      <c r="F215" s="608">
        <v>0</v>
      </c>
      <c r="G215" s="103"/>
      <c r="H215" s="103"/>
      <c r="I215" s="103"/>
      <c r="J215" s="1">
        <f t="shared" si="0"/>
        <v>0</v>
      </c>
      <c r="K215" s="579" t="s">
        <v>597</v>
      </c>
      <c r="L215" s="580" t="s">
        <v>595</v>
      </c>
      <c r="M215" s="581">
        <v>0</v>
      </c>
      <c r="N215" s="581">
        <v>0</v>
      </c>
      <c r="O215" s="581">
        <v>0</v>
      </c>
      <c r="P215" s="609">
        <v>0</v>
      </c>
    </row>
    <row r="216" spans="1:16" ht="15">
      <c r="A216" s="583" t="s">
        <v>599</v>
      </c>
      <c r="B216" s="584" t="s">
        <v>600</v>
      </c>
      <c r="C216" s="584" t="s">
        <v>156</v>
      </c>
      <c r="D216" s="584" t="s">
        <v>1548</v>
      </c>
      <c r="E216" s="584" t="s">
        <v>100</v>
      </c>
      <c r="F216" s="608">
        <v>0</v>
      </c>
      <c r="G216" s="103"/>
      <c r="H216" s="103"/>
      <c r="I216" s="103"/>
      <c r="J216" s="1">
        <f t="shared" ref="J216:J227" si="1">+F216-M216</f>
        <v>0</v>
      </c>
      <c r="K216" s="583" t="s">
        <v>599</v>
      </c>
      <c r="L216" s="584" t="s">
        <v>600</v>
      </c>
      <c r="M216" s="585">
        <v>0</v>
      </c>
      <c r="N216" s="585">
        <v>0</v>
      </c>
      <c r="O216" s="585">
        <v>0</v>
      </c>
      <c r="P216" s="610">
        <v>0</v>
      </c>
    </row>
    <row r="217" spans="1:16" ht="15">
      <c r="A217" s="583" t="s">
        <v>601</v>
      </c>
      <c r="B217" s="584" t="s">
        <v>602</v>
      </c>
      <c r="C217" s="584" t="s">
        <v>156</v>
      </c>
      <c r="D217" s="584" t="s">
        <v>1549</v>
      </c>
      <c r="E217" s="584" t="s">
        <v>100</v>
      </c>
      <c r="F217" s="608">
        <v>0</v>
      </c>
      <c r="G217" s="103"/>
      <c r="H217" s="103"/>
      <c r="I217" s="103"/>
      <c r="J217" s="1">
        <f t="shared" si="1"/>
        <v>0</v>
      </c>
      <c r="K217" s="579" t="s">
        <v>601</v>
      </c>
      <c r="L217" s="580" t="s">
        <v>602</v>
      </c>
      <c r="M217" s="581">
        <v>0</v>
      </c>
      <c r="N217" s="581">
        <v>0</v>
      </c>
      <c r="O217" s="581">
        <v>0</v>
      </c>
      <c r="P217" s="609">
        <v>0</v>
      </c>
    </row>
    <row r="218" spans="1:16" ht="15">
      <c r="A218" s="583" t="s">
        <v>603</v>
      </c>
      <c r="B218" s="584" t="s">
        <v>604</v>
      </c>
      <c r="C218" s="584" t="s">
        <v>156</v>
      </c>
      <c r="D218" s="584" t="s">
        <v>1549</v>
      </c>
      <c r="E218" s="584" t="s">
        <v>100</v>
      </c>
      <c r="F218" s="608">
        <v>26017.599999999999</v>
      </c>
      <c r="G218" s="103"/>
      <c r="H218" s="103"/>
      <c r="I218" s="103">
        <v>26</v>
      </c>
      <c r="J218" s="1">
        <f t="shared" si="1"/>
        <v>0</v>
      </c>
      <c r="K218" s="583" t="s">
        <v>603</v>
      </c>
      <c r="L218" s="584" t="s">
        <v>604</v>
      </c>
      <c r="M218" s="585">
        <v>26017.599999999999</v>
      </c>
      <c r="N218" s="585">
        <v>0</v>
      </c>
      <c r="O218" s="590">
        <v>26017.599999999999</v>
      </c>
      <c r="P218" s="610">
        <v>0</v>
      </c>
    </row>
    <row r="219" spans="1:16" ht="15">
      <c r="A219" s="583" t="s">
        <v>605</v>
      </c>
      <c r="B219" s="584" t="s">
        <v>606</v>
      </c>
      <c r="C219" s="584" t="s">
        <v>156</v>
      </c>
      <c r="D219" s="584" t="s">
        <v>1549</v>
      </c>
      <c r="E219" s="584" t="s">
        <v>100</v>
      </c>
      <c r="F219" s="608">
        <v>460</v>
      </c>
      <c r="G219" s="103"/>
      <c r="H219" s="103"/>
      <c r="I219" s="103">
        <v>0</v>
      </c>
      <c r="J219" s="1">
        <f t="shared" si="1"/>
        <v>0</v>
      </c>
      <c r="K219" s="579" t="s">
        <v>605</v>
      </c>
      <c r="L219" s="580" t="s">
        <v>606</v>
      </c>
      <c r="M219" s="581">
        <v>460</v>
      </c>
      <c r="N219" s="581">
        <v>0</v>
      </c>
      <c r="O219" s="589">
        <v>460</v>
      </c>
      <c r="P219" s="609">
        <v>0</v>
      </c>
    </row>
    <row r="220" spans="1:16" ht="15">
      <c r="A220" s="583" t="s">
        <v>607</v>
      </c>
      <c r="B220" s="584" t="s">
        <v>608</v>
      </c>
      <c r="C220" s="584" t="s">
        <v>156</v>
      </c>
      <c r="D220" s="584" t="s">
        <v>1549</v>
      </c>
      <c r="E220" s="584" t="s">
        <v>100</v>
      </c>
      <c r="F220" s="608">
        <v>2579</v>
      </c>
      <c r="G220" s="103"/>
      <c r="H220" s="103"/>
      <c r="I220" s="103">
        <v>2</v>
      </c>
      <c r="J220" s="1">
        <f t="shared" si="1"/>
        <v>0</v>
      </c>
      <c r="K220" s="583" t="s">
        <v>607</v>
      </c>
      <c r="L220" s="584" t="s">
        <v>608</v>
      </c>
      <c r="M220" s="585">
        <v>2579</v>
      </c>
      <c r="N220" s="585">
        <v>0</v>
      </c>
      <c r="O220" s="590">
        <v>2579</v>
      </c>
      <c r="P220" s="610">
        <v>0</v>
      </c>
    </row>
    <row r="221" spans="1:16" ht="15">
      <c r="A221" s="583" t="s">
        <v>609</v>
      </c>
      <c r="B221" s="584" t="s">
        <v>610</v>
      </c>
      <c r="C221" s="584" t="s">
        <v>156</v>
      </c>
      <c r="D221" s="584" t="s">
        <v>1549</v>
      </c>
      <c r="E221" s="584" t="s">
        <v>100</v>
      </c>
      <c r="F221" s="608">
        <v>0</v>
      </c>
      <c r="G221" s="103"/>
      <c r="H221" s="103"/>
      <c r="I221" s="103"/>
      <c r="J221" s="1">
        <f t="shared" si="1"/>
        <v>0</v>
      </c>
      <c r="K221" s="579" t="s">
        <v>609</v>
      </c>
      <c r="L221" s="580" t="s">
        <v>610</v>
      </c>
      <c r="M221" s="581">
        <v>0</v>
      </c>
      <c r="N221" s="581">
        <v>0</v>
      </c>
      <c r="O221" s="589">
        <v>0</v>
      </c>
      <c r="P221" s="609">
        <v>0</v>
      </c>
    </row>
    <row r="222" spans="1:16" ht="15">
      <c r="A222" s="583" t="s">
        <v>611</v>
      </c>
      <c r="B222" s="584" t="s">
        <v>612</v>
      </c>
      <c r="C222" s="584" t="s">
        <v>156</v>
      </c>
      <c r="D222" s="584" t="s">
        <v>1549</v>
      </c>
      <c r="E222" s="584" t="s">
        <v>100</v>
      </c>
      <c r="F222" s="608">
        <v>1424.15</v>
      </c>
      <c r="G222" s="103"/>
      <c r="H222" s="103"/>
      <c r="I222" s="103">
        <v>1</v>
      </c>
      <c r="J222" s="1">
        <f t="shared" si="1"/>
        <v>0</v>
      </c>
      <c r="K222" s="583" t="s">
        <v>611</v>
      </c>
      <c r="L222" s="584" t="s">
        <v>612</v>
      </c>
      <c r="M222" s="585">
        <v>1424.15</v>
      </c>
      <c r="N222" s="585">
        <v>0</v>
      </c>
      <c r="O222" s="590">
        <v>1424.15</v>
      </c>
      <c r="P222" s="610">
        <v>0</v>
      </c>
    </row>
    <row r="223" spans="1:16" ht="15">
      <c r="A223" s="583" t="s">
        <v>613</v>
      </c>
      <c r="B223" s="584" t="s">
        <v>614</v>
      </c>
      <c r="C223" s="584" t="s">
        <v>156</v>
      </c>
      <c r="D223" s="584" t="s">
        <v>1549</v>
      </c>
      <c r="E223" s="584" t="s">
        <v>100</v>
      </c>
      <c r="F223" s="608">
        <v>0</v>
      </c>
      <c r="G223" s="103"/>
      <c r="H223" s="103"/>
      <c r="I223" s="103"/>
      <c r="J223" s="1">
        <f t="shared" si="1"/>
        <v>0</v>
      </c>
      <c r="K223" s="579" t="s">
        <v>613</v>
      </c>
      <c r="L223" s="580" t="s">
        <v>614</v>
      </c>
      <c r="M223" s="581">
        <v>0</v>
      </c>
      <c r="N223" s="581">
        <v>0</v>
      </c>
      <c r="O223" s="581">
        <v>0</v>
      </c>
      <c r="P223" s="609">
        <v>0</v>
      </c>
    </row>
    <row r="224" spans="1:16" ht="15">
      <c r="A224" s="583" t="s">
        <v>615</v>
      </c>
      <c r="B224" s="584" t="s">
        <v>616</v>
      </c>
      <c r="C224" s="584" t="s">
        <v>156</v>
      </c>
      <c r="D224" s="584" t="s">
        <v>1549</v>
      </c>
      <c r="E224" s="584" t="s">
        <v>100</v>
      </c>
      <c r="F224" s="608">
        <v>0</v>
      </c>
      <c r="G224" s="103"/>
      <c r="H224" s="103"/>
      <c r="I224" s="103"/>
      <c r="J224" s="1">
        <f t="shared" si="1"/>
        <v>0</v>
      </c>
      <c r="K224" s="583" t="s">
        <v>615</v>
      </c>
      <c r="L224" s="584" t="s">
        <v>616</v>
      </c>
      <c r="M224" s="585">
        <v>0</v>
      </c>
      <c r="N224" s="585">
        <v>0</v>
      </c>
      <c r="O224" s="585">
        <v>0</v>
      </c>
      <c r="P224" s="610">
        <v>0</v>
      </c>
    </row>
    <row r="225" spans="1:18" ht="15">
      <c r="A225" s="583" t="s">
        <v>617</v>
      </c>
      <c r="B225" s="584" t="s">
        <v>618</v>
      </c>
      <c r="C225" s="584" t="s">
        <v>156</v>
      </c>
      <c r="D225" s="584" t="s">
        <v>1550</v>
      </c>
      <c r="E225" s="584" t="s">
        <v>619</v>
      </c>
      <c r="F225" s="608">
        <v>30480.75</v>
      </c>
      <c r="G225" s="103"/>
      <c r="H225" s="103"/>
      <c r="I225" s="103"/>
      <c r="J225" s="1">
        <f t="shared" si="1"/>
        <v>0</v>
      </c>
      <c r="K225" s="579" t="s">
        <v>617</v>
      </c>
      <c r="L225" s="580" t="s">
        <v>618</v>
      </c>
      <c r="M225" s="581">
        <v>30480.75</v>
      </c>
      <c r="N225" s="581">
        <v>0</v>
      </c>
      <c r="O225" s="581">
        <v>30480.75</v>
      </c>
      <c r="P225" s="609">
        <v>0</v>
      </c>
    </row>
    <row r="226" spans="1:18" ht="15">
      <c r="A226" s="583" t="s">
        <v>620</v>
      </c>
      <c r="B226" s="584" t="s">
        <v>621</v>
      </c>
      <c r="C226" s="584" t="s">
        <v>156</v>
      </c>
      <c r="D226" s="584" t="s">
        <v>1550</v>
      </c>
      <c r="E226" s="584" t="s">
        <v>622</v>
      </c>
      <c r="F226" s="608">
        <v>1822716.58</v>
      </c>
      <c r="G226" s="103"/>
      <c r="H226" s="103"/>
      <c r="I226" s="103"/>
      <c r="J226" s="1">
        <f t="shared" si="1"/>
        <v>0.5</v>
      </c>
      <c r="K226" s="583" t="s">
        <v>620</v>
      </c>
      <c r="L226" s="584" t="s">
        <v>621</v>
      </c>
      <c r="M226" s="585">
        <v>1822716.08</v>
      </c>
      <c r="N226" s="585">
        <v>1551549.96</v>
      </c>
      <c r="O226" s="585">
        <v>309242.43</v>
      </c>
      <c r="P226" s="610">
        <v>-38076.31</v>
      </c>
    </row>
    <row r="227" spans="1:18" ht="15">
      <c r="A227" s="583" t="s">
        <v>623</v>
      </c>
      <c r="B227" s="584" t="s">
        <v>624</v>
      </c>
      <c r="C227" s="584" t="s">
        <v>156</v>
      </c>
      <c r="D227" s="584" t="s">
        <v>1550</v>
      </c>
      <c r="E227" s="584" t="s">
        <v>625</v>
      </c>
      <c r="F227" s="608">
        <v>1822716.58</v>
      </c>
      <c r="G227" s="103"/>
      <c r="H227" s="103"/>
      <c r="I227" s="103"/>
      <c r="J227" s="1">
        <f t="shared" si="1"/>
        <v>0.5</v>
      </c>
      <c r="K227" s="579" t="s">
        <v>623</v>
      </c>
      <c r="L227" s="580" t="s">
        <v>624</v>
      </c>
      <c r="M227" s="581">
        <v>1822716.08</v>
      </c>
      <c r="N227" s="581">
        <v>1551549.96</v>
      </c>
      <c r="O227" s="581">
        <v>309242.43</v>
      </c>
      <c r="P227" s="609">
        <v>-38076.31</v>
      </c>
    </row>
    <row r="228" spans="1:18" ht="15">
      <c r="A228" s="583" t="s">
        <v>626</v>
      </c>
      <c r="B228" s="584" t="s">
        <v>627</v>
      </c>
      <c r="C228" s="584" t="s">
        <v>156</v>
      </c>
      <c r="D228" s="584" t="s">
        <v>1548</v>
      </c>
      <c r="E228" s="584" t="s">
        <v>100</v>
      </c>
      <c r="F228" s="608">
        <v>0</v>
      </c>
      <c r="G228" s="103"/>
      <c r="H228" s="103"/>
      <c r="I228" s="103"/>
      <c r="O228" s="1">
        <f>-O200</f>
        <v>-74754</v>
      </c>
      <c r="P228" s="1">
        <f>-P200</f>
        <v>-16297</v>
      </c>
      <c r="R228" s="1"/>
    </row>
    <row r="229" spans="1:18" ht="15">
      <c r="A229" s="583" t="s">
        <v>628</v>
      </c>
      <c r="B229" s="584" t="s">
        <v>629</v>
      </c>
      <c r="C229" s="584" t="s">
        <v>156</v>
      </c>
      <c r="D229" s="584" t="s">
        <v>1549</v>
      </c>
      <c r="E229" s="584" t="s">
        <v>100</v>
      </c>
      <c r="F229" s="608">
        <v>10090.700000000001</v>
      </c>
      <c r="G229" s="103"/>
      <c r="H229" s="103"/>
      <c r="I229" s="103">
        <v>10</v>
      </c>
      <c r="O229" s="1">
        <f>+O227+O228</f>
        <v>234488.43</v>
      </c>
      <c r="P229" s="1">
        <f>-P227+P228</f>
        <v>21779.309999999998</v>
      </c>
    </row>
    <row r="230" spans="1:18" ht="15">
      <c r="A230" s="583" t="s">
        <v>630</v>
      </c>
      <c r="B230" s="584" t="s">
        <v>631</v>
      </c>
      <c r="C230" s="584" t="s">
        <v>156</v>
      </c>
      <c r="D230" s="584" t="s">
        <v>1550</v>
      </c>
      <c r="E230" s="584" t="s">
        <v>632</v>
      </c>
      <c r="F230" s="608">
        <v>10090.700000000001</v>
      </c>
      <c r="G230" s="103"/>
      <c r="H230" s="103"/>
      <c r="I230" s="103"/>
    </row>
    <row r="231" spans="1:18" ht="15">
      <c r="A231" s="583" t="s">
        <v>633</v>
      </c>
      <c r="B231" s="584" t="s">
        <v>634</v>
      </c>
      <c r="C231" s="584" t="s">
        <v>156</v>
      </c>
      <c r="D231" s="584" t="s">
        <v>1550</v>
      </c>
      <c r="E231" s="584" t="s">
        <v>635</v>
      </c>
      <c r="F231" s="608">
        <v>1832807.28</v>
      </c>
      <c r="G231" s="103"/>
      <c r="H231" s="103"/>
      <c r="I231" s="103"/>
      <c r="J231" s="3">
        <f>SUM(I147:I231)</f>
        <v>1921</v>
      </c>
      <c r="N231">
        <v>1552</v>
      </c>
      <c r="O231">
        <v>384</v>
      </c>
      <c r="P231">
        <v>-22</v>
      </c>
    </row>
    <row r="232" spans="1:18" ht="15">
      <c r="A232" s="583" t="s">
        <v>636</v>
      </c>
      <c r="B232" s="584" t="s">
        <v>637</v>
      </c>
      <c r="C232" s="584" t="s">
        <v>156</v>
      </c>
      <c r="D232" s="584" t="s">
        <v>1548</v>
      </c>
      <c r="E232" s="584" t="s">
        <v>100</v>
      </c>
      <c r="F232" s="608">
        <v>0</v>
      </c>
      <c r="G232" s="103"/>
      <c r="H232" s="103"/>
      <c r="I232" s="103"/>
      <c r="N232">
        <v>2</v>
      </c>
      <c r="O232">
        <v>-3</v>
      </c>
    </row>
    <row r="233" spans="1:18" ht="15">
      <c r="A233" s="583" t="s">
        <v>638</v>
      </c>
      <c r="B233" s="584" t="s">
        <v>639</v>
      </c>
      <c r="C233" s="584" t="s">
        <v>156</v>
      </c>
      <c r="D233" s="584" t="s">
        <v>1548</v>
      </c>
      <c r="E233" s="584" t="s">
        <v>100</v>
      </c>
      <c r="F233" s="608">
        <v>0</v>
      </c>
      <c r="G233" s="103"/>
      <c r="H233" s="103"/>
      <c r="I233" s="103"/>
      <c r="O233">
        <v>-4</v>
      </c>
    </row>
    <row r="234" spans="1:18" ht="15">
      <c r="A234" s="583" t="s">
        <v>640</v>
      </c>
      <c r="B234" s="584" t="s">
        <v>641</v>
      </c>
      <c r="C234" s="584" t="s">
        <v>156</v>
      </c>
      <c r="D234" s="584" t="s">
        <v>1549</v>
      </c>
      <c r="E234" s="584" t="s">
        <v>100</v>
      </c>
      <c r="F234" s="608">
        <v>-2013342.63</v>
      </c>
      <c r="G234" s="103"/>
      <c r="H234" s="103"/>
      <c r="I234" s="103">
        <v>-2013</v>
      </c>
      <c r="O234">
        <v>1</v>
      </c>
    </row>
    <row r="235" spans="1:18" ht="15">
      <c r="A235" s="583" t="s">
        <v>642</v>
      </c>
      <c r="B235" s="584" t="s">
        <v>643</v>
      </c>
      <c r="C235" s="584" t="s">
        <v>156</v>
      </c>
      <c r="D235" s="584" t="s">
        <v>1549</v>
      </c>
      <c r="E235" s="584" t="s">
        <v>100</v>
      </c>
      <c r="F235" s="608">
        <v>-84544.39</v>
      </c>
      <c r="G235" s="103"/>
      <c r="H235" s="103"/>
      <c r="I235" s="103">
        <v>-85</v>
      </c>
      <c r="O235">
        <v>1</v>
      </c>
    </row>
    <row r="236" spans="1:18" ht="15">
      <c r="A236" s="583" t="s">
        <v>644</v>
      </c>
      <c r="B236" s="584" t="s">
        <v>645</v>
      </c>
      <c r="C236" s="584" t="s">
        <v>156</v>
      </c>
      <c r="D236" s="584" t="s">
        <v>1549</v>
      </c>
      <c r="E236" s="584" t="s">
        <v>100</v>
      </c>
      <c r="F236" s="608">
        <v>0</v>
      </c>
      <c r="G236" s="103"/>
      <c r="H236" s="103"/>
      <c r="I236" s="103"/>
      <c r="N236">
        <f>SUM(N231:N235)</f>
        <v>1554</v>
      </c>
      <c r="O236">
        <f>SUM(O231:O235)</f>
        <v>379</v>
      </c>
      <c r="P236">
        <f>+P231</f>
        <v>-22</v>
      </c>
    </row>
    <row r="237" spans="1:18" ht="15">
      <c r="A237" s="583" t="s">
        <v>646</v>
      </c>
      <c r="B237" s="584" t="s">
        <v>202</v>
      </c>
      <c r="C237" s="584" t="s">
        <v>156</v>
      </c>
      <c r="D237" s="584" t="s">
        <v>1549</v>
      </c>
      <c r="E237" s="584" t="s">
        <v>100</v>
      </c>
      <c r="F237" s="608">
        <v>-25000</v>
      </c>
      <c r="G237" s="103"/>
      <c r="H237" s="103"/>
      <c r="I237" s="103">
        <v>-25</v>
      </c>
    </row>
    <row r="238" spans="1:18" ht="15">
      <c r="A238" s="583" t="s">
        <v>647</v>
      </c>
      <c r="B238" s="584" t="s">
        <v>648</v>
      </c>
      <c r="C238" s="584" t="s">
        <v>156</v>
      </c>
      <c r="D238" s="584" t="s">
        <v>1549</v>
      </c>
      <c r="E238" s="584" t="s">
        <v>100</v>
      </c>
      <c r="F238" s="608">
        <v>98526.06</v>
      </c>
      <c r="G238" s="103"/>
      <c r="H238" s="103"/>
      <c r="I238" s="103">
        <v>99</v>
      </c>
    </row>
    <row r="239" spans="1:18" ht="15">
      <c r="A239" s="583" t="s">
        <v>649</v>
      </c>
      <c r="B239" s="584" t="s">
        <v>650</v>
      </c>
      <c r="C239" s="584" t="s">
        <v>156</v>
      </c>
      <c r="D239" s="584" t="s">
        <v>1549</v>
      </c>
      <c r="E239" s="584" t="s">
        <v>100</v>
      </c>
      <c r="F239" s="608">
        <v>126380.14</v>
      </c>
      <c r="G239" s="103"/>
      <c r="H239" s="103"/>
      <c r="I239" s="103">
        <v>126</v>
      </c>
    </row>
    <row r="240" spans="1:18" ht="15">
      <c r="A240" s="583" t="s">
        <v>651</v>
      </c>
      <c r="B240" s="584" t="s">
        <v>652</v>
      </c>
      <c r="C240" s="584" t="s">
        <v>156</v>
      </c>
      <c r="D240" s="584" t="s">
        <v>1549</v>
      </c>
      <c r="E240" s="584" t="s">
        <v>100</v>
      </c>
      <c r="F240" s="608">
        <v>417431.18</v>
      </c>
      <c r="G240" s="103"/>
      <c r="H240" s="103"/>
      <c r="I240" s="103">
        <v>417</v>
      </c>
    </row>
    <row r="241" spans="1:9" ht="15">
      <c r="A241" s="583" t="s">
        <v>653</v>
      </c>
      <c r="B241" s="584" t="s">
        <v>654</v>
      </c>
      <c r="C241" s="584" t="s">
        <v>156</v>
      </c>
      <c r="D241" s="584" t="s">
        <v>1549</v>
      </c>
      <c r="E241" s="584" t="s">
        <v>100</v>
      </c>
      <c r="F241" s="608">
        <v>530</v>
      </c>
      <c r="G241" s="103"/>
      <c r="H241" s="103"/>
      <c r="I241" s="103">
        <v>1</v>
      </c>
    </row>
    <row r="242" spans="1:9" ht="15">
      <c r="A242" s="583" t="s">
        <v>655</v>
      </c>
      <c r="B242" s="584" t="s">
        <v>656</v>
      </c>
      <c r="C242" s="584" t="s">
        <v>156</v>
      </c>
      <c r="D242" s="584" t="s">
        <v>1549</v>
      </c>
      <c r="E242" s="584" t="s">
        <v>100</v>
      </c>
      <c r="F242" s="608">
        <v>7791.35</v>
      </c>
      <c r="G242" s="103">
        <f>-1749.57-1749.57</f>
        <v>-3499.14</v>
      </c>
      <c r="H242" s="103">
        <v>-3</v>
      </c>
      <c r="I242" s="103">
        <f>8+H242</f>
        <v>5</v>
      </c>
    </row>
    <row r="243" spans="1:9" ht="15">
      <c r="A243" s="583" t="s">
        <v>657</v>
      </c>
      <c r="B243" s="584" t="s">
        <v>658</v>
      </c>
      <c r="C243" s="584" t="s">
        <v>156</v>
      </c>
      <c r="D243" s="584" t="s">
        <v>1549</v>
      </c>
      <c r="E243" s="584" t="s">
        <v>100</v>
      </c>
      <c r="F243" s="608">
        <v>2582.92</v>
      </c>
      <c r="G243" s="103"/>
      <c r="H243" s="103"/>
      <c r="I243" s="103">
        <v>3</v>
      </c>
    </row>
    <row r="244" spans="1:9" ht="15">
      <c r="A244" s="583" t="s">
        <v>659</v>
      </c>
      <c r="B244" s="584" t="s">
        <v>660</v>
      </c>
      <c r="C244" s="584" t="s">
        <v>156</v>
      </c>
      <c r="D244" s="584" t="s">
        <v>1549</v>
      </c>
      <c r="E244" s="584" t="s">
        <v>100</v>
      </c>
      <c r="F244" s="608">
        <v>1014886.3</v>
      </c>
      <c r="G244" s="103"/>
      <c r="H244" s="103"/>
      <c r="I244" s="103">
        <v>1015</v>
      </c>
    </row>
    <row r="245" spans="1:9" ht="15">
      <c r="A245" s="583" t="s">
        <v>661</v>
      </c>
      <c r="B245" s="584" t="s">
        <v>662</v>
      </c>
      <c r="C245" s="584" t="s">
        <v>156</v>
      </c>
      <c r="D245" s="584" t="s">
        <v>1549</v>
      </c>
      <c r="E245" s="584" t="s">
        <v>100</v>
      </c>
      <c r="F245" s="608">
        <v>250</v>
      </c>
      <c r="G245" s="103"/>
      <c r="H245" s="103"/>
      <c r="I245" s="103">
        <v>0</v>
      </c>
    </row>
    <row r="246" spans="1:9" ht="15">
      <c r="A246" s="583" t="s">
        <v>663</v>
      </c>
      <c r="B246" s="584" t="s">
        <v>664</v>
      </c>
      <c r="C246" s="584" t="s">
        <v>156</v>
      </c>
      <c r="D246" s="584" t="s">
        <v>1549</v>
      </c>
      <c r="E246" s="584" t="s">
        <v>100</v>
      </c>
      <c r="F246" s="608">
        <v>626755.97</v>
      </c>
      <c r="G246" s="103"/>
      <c r="H246" s="103"/>
      <c r="I246" s="103">
        <v>627</v>
      </c>
    </row>
    <row r="247" spans="1:9" ht="15">
      <c r="A247" s="583" t="s">
        <v>665</v>
      </c>
      <c r="B247" s="584" t="s">
        <v>666</v>
      </c>
      <c r="C247" s="584" t="s">
        <v>156</v>
      </c>
      <c r="D247" s="584" t="s">
        <v>1549</v>
      </c>
      <c r="E247" s="584" t="s">
        <v>100</v>
      </c>
      <c r="F247" s="608">
        <v>0</v>
      </c>
      <c r="G247" s="103"/>
      <c r="H247" s="103"/>
      <c r="I247" s="103"/>
    </row>
    <row r="248" spans="1:9" ht="15">
      <c r="A248" s="583" t="s">
        <v>667</v>
      </c>
      <c r="B248" s="584" t="s">
        <v>220</v>
      </c>
      <c r="C248" s="584" t="s">
        <v>156</v>
      </c>
      <c r="D248" s="584" t="s">
        <v>1549</v>
      </c>
      <c r="E248" s="584" t="s">
        <v>100</v>
      </c>
      <c r="F248" s="608">
        <v>62648.800000000003</v>
      </c>
      <c r="G248" s="103"/>
      <c r="H248" s="103"/>
      <c r="I248" s="103">
        <v>63</v>
      </c>
    </row>
    <row r="249" spans="1:9" ht="15">
      <c r="A249" s="583" t="s">
        <v>668</v>
      </c>
      <c r="B249" s="584" t="s">
        <v>669</v>
      </c>
      <c r="C249" s="584" t="s">
        <v>156</v>
      </c>
      <c r="D249" s="584" t="s">
        <v>1549</v>
      </c>
      <c r="E249" s="584" t="s">
        <v>100</v>
      </c>
      <c r="F249" s="608">
        <v>53150</v>
      </c>
      <c r="G249" s="103"/>
      <c r="H249" s="103"/>
      <c r="I249" s="103">
        <v>53</v>
      </c>
    </row>
    <row r="250" spans="1:9" ht="15">
      <c r="A250" s="583" t="s">
        <v>670</v>
      </c>
      <c r="B250" s="584" t="s">
        <v>671</v>
      </c>
      <c r="C250" s="584" t="s">
        <v>156</v>
      </c>
      <c r="D250" s="584" t="s">
        <v>1549</v>
      </c>
      <c r="E250" s="584" t="s">
        <v>100</v>
      </c>
      <c r="F250" s="608">
        <v>0</v>
      </c>
      <c r="G250" s="103"/>
      <c r="H250" s="103"/>
      <c r="I250" s="103"/>
    </row>
    <row r="251" spans="1:9" ht="15">
      <c r="A251" s="583" t="s">
        <v>672</v>
      </c>
      <c r="B251" s="584" t="s">
        <v>1586</v>
      </c>
      <c r="C251" s="584" t="s">
        <v>156</v>
      </c>
      <c r="D251" s="584" t="s">
        <v>1550</v>
      </c>
      <c r="E251" s="584" t="s">
        <v>674</v>
      </c>
      <c r="F251" s="608">
        <v>288045.7</v>
      </c>
      <c r="G251" s="103"/>
      <c r="H251" s="103"/>
      <c r="I251" s="103"/>
    </row>
    <row r="252" spans="1:9" ht="15">
      <c r="A252" s="583" t="s">
        <v>675</v>
      </c>
      <c r="B252" s="584" t="s">
        <v>676</v>
      </c>
      <c r="C252" s="584" t="s">
        <v>156</v>
      </c>
      <c r="D252" s="584" t="s">
        <v>1548</v>
      </c>
      <c r="E252" s="584" t="s">
        <v>100</v>
      </c>
      <c r="F252" s="608">
        <v>0</v>
      </c>
      <c r="G252" s="103"/>
      <c r="H252" s="103"/>
      <c r="I252" s="103"/>
    </row>
    <row r="253" spans="1:9" ht="15">
      <c r="A253" s="583" t="s">
        <v>677</v>
      </c>
      <c r="B253" s="584" t="s">
        <v>678</v>
      </c>
      <c r="C253" s="584" t="s">
        <v>156</v>
      </c>
      <c r="D253" s="584" t="s">
        <v>1549</v>
      </c>
      <c r="E253" s="584" t="s">
        <v>100</v>
      </c>
      <c r="F253" s="608">
        <v>0</v>
      </c>
      <c r="G253" s="103"/>
      <c r="H253" s="103"/>
      <c r="I253" s="103"/>
    </row>
    <row r="254" spans="1:9" ht="15">
      <c r="A254" s="583" t="s">
        <v>679</v>
      </c>
      <c r="B254" s="584" t="s">
        <v>680</v>
      </c>
      <c r="C254" s="584" t="s">
        <v>156</v>
      </c>
      <c r="D254" s="584" t="s">
        <v>1549</v>
      </c>
      <c r="E254" s="584" t="s">
        <v>100</v>
      </c>
      <c r="F254" s="608">
        <v>0</v>
      </c>
      <c r="G254" s="103"/>
      <c r="H254" s="103"/>
      <c r="I254" s="103"/>
    </row>
    <row r="255" spans="1:9" ht="15">
      <c r="A255" s="583" t="s">
        <v>681</v>
      </c>
      <c r="B255" s="584" t="s">
        <v>682</v>
      </c>
      <c r="C255" s="584" t="s">
        <v>156</v>
      </c>
      <c r="D255" s="584" t="s">
        <v>1550</v>
      </c>
      <c r="E255" s="584" t="s">
        <v>683</v>
      </c>
      <c r="F255" s="608">
        <v>0</v>
      </c>
      <c r="G255" s="103"/>
      <c r="H255" s="103"/>
      <c r="I255" s="103"/>
    </row>
    <row r="256" spans="1:9" ht="15">
      <c r="A256" s="583" t="s">
        <v>684</v>
      </c>
      <c r="B256" s="584" t="s">
        <v>685</v>
      </c>
      <c r="C256" s="584" t="s">
        <v>156</v>
      </c>
      <c r="D256" s="584" t="s">
        <v>1548</v>
      </c>
      <c r="E256" s="584" t="s">
        <v>100</v>
      </c>
      <c r="F256" s="608">
        <v>0</v>
      </c>
      <c r="G256" s="103"/>
      <c r="H256" s="103"/>
      <c r="I256" s="103"/>
    </row>
    <row r="257" spans="1:9" ht="15">
      <c r="A257" s="583" t="s">
        <v>686</v>
      </c>
      <c r="B257" s="584" t="s">
        <v>687</v>
      </c>
      <c r="C257" s="584" t="s">
        <v>156</v>
      </c>
      <c r="D257" s="584" t="s">
        <v>1549</v>
      </c>
      <c r="E257" s="584" t="s">
        <v>100</v>
      </c>
      <c r="F257" s="608">
        <v>208663.46</v>
      </c>
      <c r="G257" s="103"/>
      <c r="H257" s="103"/>
      <c r="I257" s="103">
        <v>209</v>
      </c>
    </row>
    <row r="258" spans="1:9" ht="15">
      <c r="A258" s="583" t="s">
        <v>688</v>
      </c>
      <c r="B258" s="584" t="s">
        <v>689</v>
      </c>
      <c r="C258" s="584" t="s">
        <v>156</v>
      </c>
      <c r="D258" s="584" t="s">
        <v>1549</v>
      </c>
      <c r="E258" s="584" t="s">
        <v>100</v>
      </c>
      <c r="F258" s="608">
        <v>0</v>
      </c>
      <c r="G258" s="103"/>
      <c r="H258" s="103"/>
      <c r="I258" s="103"/>
    </row>
    <row r="259" spans="1:9" ht="15">
      <c r="A259" s="583" t="s">
        <v>690</v>
      </c>
      <c r="B259" s="584" t="s">
        <v>691</v>
      </c>
      <c r="C259" s="584" t="s">
        <v>156</v>
      </c>
      <c r="D259" s="584" t="s">
        <v>1549</v>
      </c>
      <c r="E259" s="584" t="s">
        <v>100</v>
      </c>
      <c r="F259" s="608">
        <v>49843.77</v>
      </c>
      <c r="G259" s="103"/>
      <c r="H259" s="103"/>
      <c r="I259" s="103">
        <v>50</v>
      </c>
    </row>
    <row r="260" spans="1:9" ht="15">
      <c r="A260" s="583" t="s">
        <v>692</v>
      </c>
      <c r="B260" s="584" t="s">
        <v>693</v>
      </c>
      <c r="C260" s="584" t="s">
        <v>156</v>
      </c>
      <c r="D260" s="584" t="s">
        <v>1549</v>
      </c>
      <c r="E260" s="584" t="s">
        <v>100</v>
      </c>
      <c r="F260" s="608">
        <v>4737.1499999999996</v>
      </c>
      <c r="G260" s="103"/>
      <c r="H260" s="103"/>
      <c r="I260" s="103">
        <v>5</v>
      </c>
    </row>
    <row r="261" spans="1:9" ht="15">
      <c r="A261" s="583" t="s">
        <v>694</v>
      </c>
      <c r="B261" s="584" t="s">
        <v>695</v>
      </c>
      <c r="C261" s="584" t="s">
        <v>156</v>
      </c>
      <c r="D261" s="584" t="s">
        <v>1549</v>
      </c>
      <c r="E261" s="584" t="s">
        <v>100</v>
      </c>
      <c r="F261" s="608">
        <v>0</v>
      </c>
      <c r="G261" s="103"/>
      <c r="H261" s="103"/>
      <c r="I261" s="103"/>
    </row>
    <row r="262" spans="1:9" ht="15">
      <c r="A262" s="583" t="s">
        <v>696</v>
      </c>
      <c r="B262" s="584" t="s">
        <v>697</v>
      </c>
      <c r="C262" s="584" t="s">
        <v>156</v>
      </c>
      <c r="D262" s="584" t="s">
        <v>1550</v>
      </c>
      <c r="E262" s="584" t="s">
        <v>698</v>
      </c>
      <c r="F262" s="608">
        <v>263244.38</v>
      </c>
      <c r="G262" s="103"/>
      <c r="H262" s="103"/>
      <c r="I262" s="103"/>
    </row>
    <row r="263" spans="1:9" ht="15">
      <c r="A263" s="583" t="s">
        <v>699</v>
      </c>
      <c r="B263" s="584" t="s">
        <v>700</v>
      </c>
      <c r="C263" s="584" t="s">
        <v>156</v>
      </c>
      <c r="D263" s="584" t="s">
        <v>1548</v>
      </c>
      <c r="E263" s="584" t="s">
        <v>100</v>
      </c>
      <c r="F263" s="608">
        <v>0</v>
      </c>
      <c r="G263" s="103"/>
      <c r="H263" s="103"/>
      <c r="I263" s="103"/>
    </row>
    <row r="264" spans="1:9" ht="15">
      <c r="A264" s="583" t="s">
        <v>701</v>
      </c>
      <c r="B264" s="584" t="s">
        <v>702</v>
      </c>
      <c r="C264" s="584" t="s">
        <v>156</v>
      </c>
      <c r="D264" s="584" t="s">
        <v>1549</v>
      </c>
      <c r="E264" s="584" t="s">
        <v>100</v>
      </c>
      <c r="F264" s="608">
        <v>-135.29</v>
      </c>
      <c r="G264" s="103"/>
      <c r="H264" s="103"/>
      <c r="I264" s="103">
        <v>0</v>
      </c>
    </row>
    <row r="265" spans="1:9" ht="15">
      <c r="A265" s="583" t="s">
        <v>703</v>
      </c>
      <c r="B265" s="584" t="s">
        <v>704</v>
      </c>
      <c r="C265" s="584" t="s">
        <v>156</v>
      </c>
      <c r="D265" s="584" t="s">
        <v>1549</v>
      </c>
      <c r="E265" s="584" t="s">
        <v>100</v>
      </c>
      <c r="F265" s="608">
        <v>0</v>
      </c>
      <c r="G265" s="103"/>
      <c r="H265" s="103"/>
      <c r="I265" s="103"/>
    </row>
    <row r="266" spans="1:9" ht="15">
      <c r="A266" s="583" t="s">
        <v>705</v>
      </c>
      <c r="B266" s="584" t="s">
        <v>664</v>
      </c>
      <c r="C266" s="584" t="s">
        <v>156</v>
      </c>
      <c r="D266" s="584" t="s">
        <v>1549</v>
      </c>
      <c r="E266" s="584" t="s">
        <v>100</v>
      </c>
      <c r="F266" s="608">
        <v>663.65</v>
      </c>
      <c r="G266" s="103"/>
      <c r="H266" s="103"/>
      <c r="I266" s="103">
        <v>1</v>
      </c>
    </row>
    <row r="267" spans="1:9" ht="15">
      <c r="A267" s="583" t="s">
        <v>706</v>
      </c>
      <c r="B267" s="584" t="s">
        <v>707</v>
      </c>
      <c r="C267" s="584" t="s">
        <v>156</v>
      </c>
      <c r="D267" s="584" t="s">
        <v>1549</v>
      </c>
      <c r="E267" s="584" t="s">
        <v>100</v>
      </c>
      <c r="F267" s="608">
        <v>0</v>
      </c>
      <c r="G267" s="103"/>
      <c r="H267" s="103"/>
      <c r="I267" s="103"/>
    </row>
    <row r="268" spans="1:9" ht="15">
      <c r="A268" s="583" t="s">
        <v>708</v>
      </c>
      <c r="B268" s="584" t="s">
        <v>709</v>
      </c>
      <c r="C268" s="584" t="s">
        <v>156</v>
      </c>
      <c r="D268" s="584" t="s">
        <v>1549</v>
      </c>
      <c r="E268" s="584" t="s">
        <v>100</v>
      </c>
      <c r="F268" s="608">
        <v>317.92</v>
      </c>
      <c r="G268" s="103"/>
      <c r="H268" s="103"/>
      <c r="I268" s="103">
        <v>0</v>
      </c>
    </row>
    <row r="269" spans="1:9" ht="15">
      <c r="A269" s="583" t="s">
        <v>710</v>
      </c>
      <c r="B269" s="584" t="s">
        <v>711</v>
      </c>
      <c r="C269" s="584" t="s">
        <v>156</v>
      </c>
      <c r="D269" s="584" t="s">
        <v>1549</v>
      </c>
      <c r="E269" s="584" t="s">
        <v>100</v>
      </c>
      <c r="F269" s="608">
        <v>1566.2</v>
      </c>
      <c r="G269" s="103"/>
      <c r="H269" s="103"/>
      <c r="I269" s="103">
        <v>2</v>
      </c>
    </row>
    <row r="270" spans="1:9" ht="15">
      <c r="A270" s="583" t="s">
        <v>712</v>
      </c>
      <c r="B270" s="584" t="s">
        <v>713</v>
      </c>
      <c r="C270" s="584" t="s">
        <v>156</v>
      </c>
      <c r="D270" s="584" t="s">
        <v>1550</v>
      </c>
      <c r="E270" s="584" t="s">
        <v>714</v>
      </c>
      <c r="F270" s="608">
        <v>2412.48</v>
      </c>
      <c r="G270" s="103"/>
      <c r="H270" s="103"/>
      <c r="I270" s="103"/>
    </row>
    <row r="271" spans="1:9" ht="15">
      <c r="A271" s="583" t="s">
        <v>715</v>
      </c>
      <c r="B271" s="584" t="s">
        <v>716</v>
      </c>
      <c r="C271" s="584" t="s">
        <v>156</v>
      </c>
      <c r="D271" s="584" t="s">
        <v>1550</v>
      </c>
      <c r="E271" s="584" t="s">
        <v>717</v>
      </c>
      <c r="F271" s="608">
        <v>553702.56000000006</v>
      </c>
      <c r="G271" s="103"/>
      <c r="H271" s="103"/>
      <c r="I271" s="103"/>
    </row>
    <row r="272" spans="1:9" ht="15">
      <c r="A272" s="583" t="s">
        <v>718</v>
      </c>
      <c r="B272" s="584" t="s">
        <v>719</v>
      </c>
      <c r="C272" s="584" t="s">
        <v>156</v>
      </c>
      <c r="D272" s="584" t="s">
        <v>1548</v>
      </c>
      <c r="E272" s="584" t="s">
        <v>100</v>
      </c>
      <c r="F272" s="608">
        <v>0</v>
      </c>
      <c r="G272" s="103"/>
      <c r="H272" s="103"/>
      <c r="I272" s="103"/>
    </row>
    <row r="273" spans="1:9" ht="15">
      <c r="A273" s="583" t="s">
        <v>720</v>
      </c>
      <c r="B273" s="584" t="s">
        <v>721</v>
      </c>
      <c r="C273" s="584" t="s">
        <v>156</v>
      </c>
      <c r="D273" s="584" t="s">
        <v>1548</v>
      </c>
      <c r="E273" s="584" t="s">
        <v>100</v>
      </c>
      <c r="F273" s="608">
        <v>0</v>
      </c>
      <c r="G273" s="103"/>
      <c r="H273" s="103"/>
      <c r="I273" s="103"/>
    </row>
    <row r="274" spans="1:9" ht="15">
      <c r="A274" s="583" t="s">
        <v>722</v>
      </c>
      <c r="B274" s="584" t="s">
        <v>723</v>
      </c>
      <c r="C274" s="584" t="s">
        <v>156</v>
      </c>
      <c r="D274" s="584" t="s">
        <v>1549</v>
      </c>
      <c r="E274" s="584" t="s">
        <v>100</v>
      </c>
      <c r="F274" s="608">
        <v>-76594.31</v>
      </c>
      <c r="G274" s="103"/>
      <c r="H274" s="103"/>
      <c r="I274" s="103">
        <v>-77</v>
      </c>
    </row>
    <row r="275" spans="1:9" ht="15">
      <c r="A275" s="583" t="s">
        <v>724</v>
      </c>
      <c r="B275" s="584" t="s">
        <v>725</v>
      </c>
      <c r="C275" s="584" t="s">
        <v>156</v>
      </c>
      <c r="D275" s="584" t="s">
        <v>1549</v>
      </c>
      <c r="E275" s="584" t="s">
        <v>100</v>
      </c>
      <c r="F275" s="608">
        <v>-0.6</v>
      </c>
      <c r="G275" s="103"/>
      <c r="H275" s="103"/>
      <c r="I275" s="103">
        <v>0</v>
      </c>
    </row>
    <row r="276" spans="1:9" ht="15">
      <c r="A276" s="583" t="s">
        <v>726</v>
      </c>
      <c r="B276" s="584" t="s">
        <v>727</v>
      </c>
      <c r="C276" s="584" t="s">
        <v>156</v>
      </c>
      <c r="D276" s="584" t="s">
        <v>1549</v>
      </c>
      <c r="E276" s="584" t="s">
        <v>100</v>
      </c>
      <c r="F276" s="608">
        <v>-77520</v>
      </c>
      <c r="G276" s="103"/>
      <c r="H276" s="103"/>
      <c r="I276" s="103">
        <v>-78</v>
      </c>
    </row>
    <row r="277" spans="1:9" ht="15">
      <c r="A277" s="583" t="s">
        <v>728</v>
      </c>
      <c r="B277" s="584" t="s">
        <v>729</v>
      </c>
      <c r="C277" s="584" t="s">
        <v>156</v>
      </c>
      <c r="D277" s="584" t="s">
        <v>1549</v>
      </c>
      <c r="E277" s="584" t="s">
        <v>100</v>
      </c>
      <c r="F277" s="608">
        <v>204833.24</v>
      </c>
      <c r="G277" s="103"/>
      <c r="H277" s="103"/>
      <c r="I277" s="103">
        <v>205</v>
      </c>
    </row>
    <row r="278" spans="1:9" ht="15">
      <c r="A278" s="583" t="s">
        <v>730</v>
      </c>
      <c r="B278" s="584" t="s">
        <v>731</v>
      </c>
      <c r="C278" s="584" t="s">
        <v>156</v>
      </c>
      <c r="D278" s="584" t="s">
        <v>1549</v>
      </c>
      <c r="E278" s="584" t="s">
        <v>100</v>
      </c>
      <c r="F278" s="608">
        <v>0</v>
      </c>
      <c r="G278" s="103"/>
      <c r="H278" s="103"/>
      <c r="I278" s="103"/>
    </row>
    <row r="279" spans="1:9" ht="15">
      <c r="A279" s="583" t="s">
        <v>732</v>
      </c>
      <c r="B279" s="584" t="s">
        <v>733</v>
      </c>
      <c r="C279" s="584" t="s">
        <v>156</v>
      </c>
      <c r="D279" s="584" t="s">
        <v>1549</v>
      </c>
      <c r="E279" s="584" t="s">
        <v>100</v>
      </c>
      <c r="F279" s="608">
        <v>0</v>
      </c>
      <c r="G279" s="103"/>
      <c r="H279" s="103"/>
      <c r="I279" s="103"/>
    </row>
    <row r="280" spans="1:9" ht="15">
      <c r="A280" s="583" t="s">
        <v>734</v>
      </c>
      <c r="B280" s="584" t="s">
        <v>735</v>
      </c>
      <c r="C280" s="584" t="s">
        <v>156</v>
      </c>
      <c r="D280" s="584" t="s">
        <v>1549</v>
      </c>
      <c r="E280" s="584" t="s">
        <v>100</v>
      </c>
      <c r="F280" s="608">
        <v>0</v>
      </c>
      <c r="G280" s="103"/>
      <c r="H280" s="103"/>
      <c r="I280" s="103"/>
    </row>
    <row r="281" spans="1:9" ht="15">
      <c r="A281" s="583" t="s">
        <v>736</v>
      </c>
      <c r="B281" s="584" t="s">
        <v>737</v>
      </c>
      <c r="C281" s="584" t="s">
        <v>156</v>
      </c>
      <c r="D281" s="584" t="s">
        <v>1549</v>
      </c>
      <c r="E281" s="584" t="s">
        <v>100</v>
      </c>
      <c r="F281" s="608">
        <v>29558.080000000002</v>
      </c>
      <c r="G281" s="103"/>
      <c r="H281" s="103"/>
      <c r="I281" s="103">
        <v>30</v>
      </c>
    </row>
    <row r="282" spans="1:9" ht="15">
      <c r="A282" s="583" t="s">
        <v>738</v>
      </c>
      <c r="B282" s="584" t="s">
        <v>739</v>
      </c>
      <c r="C282" s="584" t="s">
        <v>156</v>
      </c>
      <c r="D282" s="584" t="s">
        <v>1549</v>
      </c>
      <c r="E282" s="584" t="s">
        <v>100</v>
      </c>
      <c r="F282" s="608">
        <v>0</v>
      </c>
      <c r="G282" s="103"/>
      <c r="H282" s="103"/>
      <c r="I282" s="103"/>
    </row>
    <row r="283" spans="1:9" ht="15">
      <c r="A283" s="583" t="s">
        <v>740</v>
      </c>
      <c r="B283" s="584" t="s">
        <v>741</v>
      </c>
      <c r="C283" s="584" t="s">
        <v>156</v>
      </c>
      <c r="D283" s="584" t="s">
        <v>1549</v>
      </c>
      <c r="E283" s="584" t="s">
        <v>100</v>
      </c>
      <c r="F283" s="608">
        <v>40475.22</v>
      </c>
      <c r="G283" s="103"/>
      <c r="H283" s="103"/>
      <c r="I283" s="103">
        <v>40</v>
      </c>
    </row>
    <row r="284" spans="1:9" ht="15">
      <c r="A284" s="583" t="s">
        <v>742</v>
      </c>
      <c r="B284" s="584" t="s">
        <v>743</v>
      </c>
      <c r="C284" s="584" t="s">
        <v>156</v>
      </c>
      <c r="D284" s="584" t="s">
        <v>1549</v>
      </c>
      <c r="E284" s="584" t="s">
        <v>100</v>
      </c>
      <c r="F284" s="608">
        <v>1566.55</v>
      </c>
      <c r="G284" s="103"/>
      <c r="H284" s="103"/>
      <c r="I284" s="103">
        <v>2</v>
      </c>
    </row>
    <row r="285" spans="1:9" ht="15">
      <c r="A285" s="583" t="s">
        <v>744</v>
      </c>
      <c r="B285" s="584" t="s">
        <v>536</v>
      </c>
      <c r="C285" s="584" t="s">
        <v>156</v>
      </c>
      <c r="D285" s="584" t="s">
        <v>1549</v>
      </c>
      <c r="E285" s="584" t="s">
        <v>100</v>
      </c>
      <c r="F285" s="608">
        <v>11294.33</v>
      </c>
      <c r="G285" s="103"/>
      <c r="H285" s="103"/>
      <c r="I285" s="103">
        <v>11</v>
      </c>
    </row>
    <row r="286" spans="1:9" ht="15">
      <c r="A286" s="583" t="s">
        <v>745</v>
      </c>
      <c r="B286" s="584" t="s">
        <v>746</v>
      </c>
      <c r="C286" s="584" t="s">
        <v>156</v>
      </c>
      <c r="D286" s="584" t="s">
        <v>1549</v>
      </c>
      <c r="E286" s="584" t="s">
        <v>100</v>
      </c>
      <c r="F286" s="608">
        <v>23611.66</v>
      </c>
      <c r="G286" s="103"/>
      <c r="H286" s="103"/>
      <c r="I286" s="103">
        <v>24</v>
      </c>
    </row>
    <row r="287" spans="1:9" ht="15">
      <c r="A287" s="583" t="s">
        <v>747</v>
      </c>
      <c r="B287" s="584" t="s">
        <v>748</v>
      </c>
      <c r="C287" s="584" t="s">
        <v>156</v>
      </c>
      <c r="D287" s="584" t="s">
        <v>1549</v>
      </c>
      <c r="E287" s="584" t="s">
        <v>100</v>
      </c>
      <c r="F287" s="608">
        <v>132750</v>
      </c>
      <c r="G287" s="103"/>
      <c r="H287" s="103"/>
      <c r="I287" s="103">
        <v>133</v>
      </c>
    </row>
    <row r="288" spans="1:9" ht="15">
      <c r="A288" s="583" t="s">
        <v>749</v>
      </c>
      <c r="B288" s="584" t="s">
        <v>750</v>
      </c>
      <c r="C288" s="584" t="s">
        <v>156</v>
      </c>
      <c r="D288" s="584" t="s">
        <v>1549</v>
      </c>
      <c r="E288" s="584" t="s">
        <v>100</v>
      </c>
      <c r="F288" s="608">
        <v>33062.5</v>
      </c>
      <c r="G288" s="103"/>
      <c r="H288" s="103"/>
      <c r="I288" s="103">
        <v>33</v>
      </c>
    </row>
    <row r="289" spans="1:9" ht="15">
      <c r="A289" s="583" t="s">
        <v>751</v>
      </c>
      <c r="B289" s="584" t="s">
        <v>752</v>
      </c>
      <c r="C289" s="584" t="s">
        <v>156</v>
      </c>
      <c r="D289" s="584" t="s">
        <v>1549</v>
      </c>
      <c r="E289" s="584" t="s">
        <v>100</v>
      </c>
      <c r="F289" s="608">
        <v>54362.559999999998</v>
      </c>
      <c r="G289" s="103"/>
      <c r="H289" s="103"/>
      <c r="I289" s="103">
        <v>54</v>
      </c>
    </row>
    <row r="290" spans="1:9" ht="15">
      <c r="A290" s="583" t="s">
        <v>753</v>
      </c>
      <c r="B290" s="584" t="s">
        <v>220</v>
      </c>
      <c r="C290" s="584" t="s">
        <v>156</v>
      </c>
      <c r="D290" s="584" t="s">
        <v>1549</v>
      </c>
      <c r="E290" s="584" t="s">
        <v>100</v>
      </c>
      <c r="F290" s="608">
        <v>30430.75</v>
      </c>
      <c r="G290" s="103"/>
      <c r="H290" s="103"/>
      <c r="I290" s="103">
        <v>30</v>
      </c>
    </row>
    <row r="291" spans="1:9" ht="15">
      <c r="A291" s="583" t="s">
        <v>754</v>
      </c>
      <c r="B291" s="584" t="s">
        <v>755</v>
      </c>
      <c r="C291" s="584" t="s">
        <v>156</v>
      </c>
      <c r="D291" s="584" t="s">
        <v>1549</v>
      </c>
      <c r="E291" s="584" t="s">
        <v>100</v>
      </c>
      <c r="F291" s="608">
        <v>1.72</v>
      </c>
      <c r="G291" s="103"/>
      <c r="H291" s="103"/>
      <c r="I291" s="103">
        <v>0</v>
      </c>
    </row>
    <row r="292" spans="1:9" ht="15">
      <c r="A292" s="583" t="s">
        <v>756</v>
      </c>
      <c r="B292" s="584" t="s">
        <v>757</v>
      </c>
      <c r="C292" s="584" t="s">
        <v>156</v>
      </c>
      <c r="D292" s="584" t="s">
        <v>1549</v>
      </c>
      <c r="E292" s="584" t="s">
        <v>100</v>
      </c>
      <c r="F292" s="608">
        <v>0</v>
      </c>
      <c r="G292" s="103"/>
      <c r="H292" s="103"/>
      <c r="I292" s="103"/>
    </row>
    <row r="293" spans="1:9" ht="15">
      <c r="A293" s="583" t="s">
        <v>758</v>
      </c>
      <c r="B293" s="584" t="s">
        <v>759</v>
      </c>
      <c r="C293" s="584" t="s">
        <v>156</v>
      </c>
      <c r="D293" s="584" t="s">
        <v>1550</v>
      </c>
      <c r="E293" s="584" t="s">
        <v>760</v>
      </c>
      <c r="F293" s="608">
        <v>407831.7</v>
      </c>
      <c r="G293" s="103"/>
      <c r="H293" s="103"/>
      <c r="I293" s="103"/>
    </row>
    <row r="294" spans="1:9" ht="15">
      <c r="A294" s="583" t="s">
        <v>761</v>
      </c>
      <c r="B294" s="584" t="s">
        <v>762</v>
      </c>
      <c r="C294" s="584" t="s">
        <v>156</v>
      </c>
      <c r="D294" s="584" t="s">
        <v>1548</v>
      </c>
      <c r="E294" s="584" t="s">
        <v>100</v>
      </c>
      <c r="F294" s="608">
        <v>0</v>
      </c>
      <c r="G294" s="103"/>
      <c r="H294" s="103"/>
      <c r="I294" s="103"/>
    </row>
    <row r="295" spans="1:9" ht="15">
      <c r="A295" s="583" t="s">
        <v>763</v>
      </c>
      <c r="B295" s="584" t="s">
        <v>764</v>
      </c>
      <c r="C295" s="584" t="s">
        <v>156</v>
      </c>
      <c r="D295" s="584" t="s">
        <v>1549</v>
      </c>
      <c r="E295" s="584" t="s">
        <v>100</v>
      </c>
      <c r="F295" s="608">
        <v>266937.32</v>
      </c>
      <c r="G295" s="103"/>
      <c r="H295" s="103"/>
      <c r="I295" s="103">
        <v>267</v>
      </c>
    </row>
    <row r="296" spans="1:9" ht="15">
      <c r="A296" s="583" t="s">
        <v>765</v>
      </c>
      <c r="B296" s="584" t="s">
        <v>766</v>
      </c>
      <c r="C296" s="584" t="s">
        <v>156</v>
      </c>
      <c r="D296" s="584" t="s">
        <v>1549</v>
      </c>
      <c r="E296" s="584" t="s">
        <v>100</v>
      </c>
      <c r="F296" s="608">
        <v>0</v>
      </c>
      <c r="G296" s="103"/>
      <c r="H296" s="103"/>
      <c r="I296" s="103"/>
    </row>
    <row r="297" spans="1:9" ht="15">
      <c r="A297" s="583" t="s">
        <v>767</v>
      </c>
      <c r="B297" s="584" t="s">
        <v>768</v>
      </c>
      <c r="C297" s="584" t="s">
        <v>156</v>
      </c>
      <c r="D297" s="584" t="s">
        <v>1549</v>
      </c>
      <c r="E297" s="584" t="s">
        <v>100</v>
      </c>
      <c r="F297" s="608">
        <v>51550</v>
      </c>
      <c r="G297" s="103"/>
      <c r="H297" s="103"/>
      <c r="I297" s="103">
        <v>52</v>
      </c>
    </row>
    <row r="298" spans="1:9" ht="15">
      <c r="A298" s="583" t="s">
        <v>769</v>
      </c>
      <c r="B298" s="584" t="s">
        <v>770</v>
      </c>
      <c r="C298" s="584" t="s">
        <v>156</v>
      </c>
      <c r="D298" s="584" t="s">
        <v>1549</v>
      </c>
      <c r="E298" s="584" t="s">
        <v>100</v>
      </c>
      <c r="F298" s="608">
        <v>6073.83</v>
      </c>
      <c r="G298" s="103"/>
      <c r="H298" s="103"/>
      <c r="I298" s="103">
        <v>6</v>
      </c>
    </row>
    <row r="299" spans="1:9" ht="15">
      <c r="A299" s="583" t="s">
        <v>771</v>
      </c>
      <c r="B299" s="584" t="s">
        <v>772</v>
      </c>
      <c r="C299" s="584" t="s">
        <v>156</v>
      </c>
      <c r="D299" s="584" t="s">
        <v>1549</v>
      </c>
      <c r="E299" s="584" t="s">
        <v>100</v>
      </c>
      <c r="F299" s="608">
        <v>615.25</v>
      </c>
      <c r="G299" s="103"/>
      <c r="H299" s="103"/>
      <c r="I299" s="103">
        <v>1</v>
      </c>
    </row>
    <row r="300" spans="1:9" ht="15">
      <c r="A300" s="583" t="s">
        <v>773</v>
      </c>
      <c r="B300" s="584" t="s">
        <v>774</v>
      </c>
      <c r="C300" s="584" t="s">
        <v>156</v>
      </c>
      <c r="D300" s="584" t="s">
        <v>1549</v>
      </c>
      <c r="E300" s="584" t="s">
        <v>100</v>
      </c>
      <c r="F300" s="608">
        <v>-31738.76</v>
      </c>
      <c r="G300" s="103"/>
      <c r="H300" s="103"/>
      <c r="I300" s="103">
        <v>-32</v>
      </c>
    </row>
    <row r="301" spans="1:9" ht="15">
      <c r="A301" s="583" t="s">
        <v>775</v>
      </c>
      <c r="B301" s="584" t="s">
        <v>776</v>
      </c>
      <c r="C301" s="584" t="s">
        <v>156</v>
      </c>
      <c r="D301" s="584" t="s">
        <v>1550</v>
      </c>
      <c r="E301" s="584" t="s">
        <v>777</v>
      </c>
      <c r="F301" s="608">
        <v>293437.64</v>
      </c>
      <c r="G301" s="103"/>
      <c r="H301" s="103"/>
      <c r="I301" s="103"/>
    </row>
    <row r="302" spans="1:9" ht="15">
      <c r="A302" s="583" t="s">
        <v>778</v>
      </c>
      <c r="B302" s="584" t="s">
        <v>779</v>
      </c>
      <c r="C302" s="584" t="s">
        <v>156</v>
      </c>
      <c r="D302" s="584" t="s">
        <v>1548</v>
      </c>
      <c r="E302" s="584" t="s">
        <v>100</v>
      </c>
      <c r="F302" s="608">
        <v>0</v>
      </c>
      <c r="G302" s="103"/>
      <c r="H302" s="103"/>
      <c r="I302" s="103"/>
    </row>
    <row r="303" spans="1:9" ht="15">
      <c r="A303" s="583" t="s">
        <v>780</v>
      </c>
      <c r="B303" s="584" t="s">
        <v>781</v>
      </c>
      <c r="C303" s="584" t="s">
        <v>156</v>
      </c>
      <c r="D303" s="584" t="s">
        <v>1549</v>
      </c>
      <c r="E303" s="584" t="s">
        <v>100</v>
      </c>
      <c r="F303" s="608">
        <v>130784.1</v>
      </c>
      <c r="G303" s="103"/>
      <c r="H303" s="103"/>
      <c r="I303" s="103">
        <v>131</v>
      </c>
    </row>
    <row r="304" spans="1:9" ht="15">
      <c r="A304" s="583" t="s">
        <v>782</v>
      </c>
      <c r="B304" s="584" t="s">
        <v>446</v>
      </c>
      <c r="C304" s="584" t="s">
        <v>156</v>
      </c>
      <c r="D304" s="584" t="s">
        <v>1549</v>
      </c>
      <c r="E304" s="584" t="s">
        <v>100</v>
      </c>
      <c r="F304" s="608">
        <v>69667.8</v>
      </c>
      <c r="G304" s="103"/>
      <c r="H304" s="103"/>
      <c r="I304" s="103">
        <v>69</v>
      </c>
    </row>
    <row r="305" spans="1:9" ht="15">
      <c r="A305" s="583" t="s">
        <v>783</v>
      </c>
      <c r="B305" s="584" t="s">
        <v>784</v>
      </c>
      <c r="C305" s="584" t="s">
        <v>156</v>
      </c>
      <c r="D305" s="584" t="s">
        <v>1549</v>
      </c>
      <c r="E305" s="584" t="s">
        <v>100</v>
      </c>
      <c r="F305" s="608">
        <v>0</v>
      </c>
      <c r="G305" s="103"/>
      <c r="H305" s="103"/>
      <c r="I305" s="103"/>
    </row>
    <row r="306" spans="1:9" ht="15">
      <c r="A306" s="583" t="s">
        <v>785</v>
      </c>
      <c r="B306" s="584" t="s">
        <v>786</v>
      </c>
      <c r="C306" s="584" t="s">
        <v>156</v>
      </c>
      <c r="D306" s="584" t="s">
        <v>1550</v>
      </c>
      <c r="E306" s="584" t="s">
        <v>787</v>
      </c>
      <c r="F306" s="608">
        <v>200451.9</v>
      </c>
      <c r="G306" s="103"/>
      <c r="H306" s="103"/>
      <c r="I306" s="103"/>
    </row>
    <row r="307" spans="1:9" ht="15">
      <c r="A307" s="583" t="s">
        <v>788</v>
      </c>
      <c r="B307" s="584" t="s">
        <v>789</v>
      </c>
      <c r="C307" s="584" t="s">
        <v>156</v>
      </c>
      <c r="D307" s="584" t="s">
        <v>1548</v>
      </c>
      <c r="E307" s="584" t="s">
        <v>100</v>
      </c>
      <c r="F307" s="608">
        <v>0</v>
      </c>
      <c r="G307" s="103"/>
      <c r="H307" s="103"/>
      <c r="I307" s="103"/>
    </row>
    <row r="308" spans="1:9" ht="15">
      <c r="A308" s="583" t="s">
        <v>790</v>
      </c>
      <c r="B308" s="584" t="s">
        <v>733</v>
      </c>
      <c r="C308" s="584" t="s">
        <v>156</v>
      </c>
      <c r="D308" s="584" t="s">
        <v>1548</v>
      </c>
      <c r="E308" s="584" t="s">
        <v>100</v>
      </c>
      <c r="F308" s="608">
        <v>0</v>
      </c>
      <c r="G308" s="103"/>
      <c r="H308" s="103"/>
      <c r="I308" s="103"/>
    </row>
    <row r="309" spans="1:9" ht="15">
      <c r="A309" s="583" t="s">
        <v>791</v>
      </c>
      <c r="B309" s="584" t="s">
        <v>792</v>
      </c>
      <c r="C309" s="584" t="s">
        <v>156</v>
      </c>
      <c r="D309" s="584" t="s">
        <v>1549</v>
      </c>
      <c r="E309" s="584" t="s">
        <v>100</v>
      </c>
      <c r="F309" s="608">
        <v>-300</v>
      </c>
      <c r="G309" s="103"/>
      <c r="H309" s="103"/>
      <c r="I309" s="103">
        <v>0</v>
      </c>
    </row>
    <row r="310" spans="1:9" ht="15">
      <c r="A310" s="583" t="s">
        <v>793</v>
      </c>
      <c r="B310" s="584" t="s">
        <v>1587</v>
      </c>
      <c r="C310" s="584" t="s">
        <v>156</v>
      </c>
      <c r="D310" s="584" t="s">
        <v>1549</v>
      </c>
      <c r="E310" s="584" t="s">
        <v>100</v>
      </c>
      <c r="F310" s="608">
        <v>124626.86</v>
      </c>
      <c r="G310" s="103"/>
      <c r="H310" s="103"/>
      <c r="I310" s="103">
        <v>124</v>
      </c>
    </row>
    <row r="311" spans="1:9" ht="15">
      <c r="A311" s="583" t="s">
        <v>795</v>
      </c>
      <c r="B311" s="584" t="s">
        <v>796</v>
      </c>
      <c r="C311" s="584" t="s">
        <v>156</v>
      </c>
      <c r="D311" s="584" t="s">
        <v>1549</v>
      </c>
      <c r="E311" s="584" t="s">
        <v>100</v>
      </c>
      <c r="F311" s="608">
        <v>190746.13</v>
      </c>
      <c r="G311" s="103"/>
      <c r="H311" s="103"/>
      <c r="I311" s="103">
        <v>191</v>
      </c>
    </row>
    <row r="312" spans="1:9" ht="15">
      <c r="A312" s="583" t="s">
        <v>797</v>
      </c>
      <c r="B312" s="584" t="s">
        <v>1588</v>
      </c>
      <c r="C312" s="584" t="s">
        <v>156</v>
      </c>
      <c r="D312" s="584" t="s">
        <v>1549</v>
      </c>
      <c r="E312" s="584" t="s">
        <v>100</v>
      </c>
      <c r="F312" s="608">
        <v>0</v>
      </c>
      <c r="G312" s="103"/>
      <c r="H312" s="103"/>
      <c r="I312" s="103">
        <v>0</v>
      </c>
    </row>
    <row r="313" spans="1:9" ht="15">
      <c r="A313" s="583" t="s">
        <v>799</v>
      </c>
      <c r="B313" s="584" t="s">
        <v>798</v>
      </c>
      <c r="C313" s="584" t="s">
        <v>156</v>
      </c>
      <c r="D313" s="584" t="s">
        <v>1549</v>
      </c>
      <c r="E313" s="584" t="s">
        <v>100</v>
      </c>
      <c r="F313" s="608">
        <v>137597.22</v>
      </c>
      <c r="G313" s="103"/>
      <c r="H313" s="103"/>
      <c r="I313" s="103">
        <v>138</v>
      </c>
    </row>
    <row r="314" spans="1:9" ht="15">
      <c r="A314" s="583" t="s">
        <v>801</v>
      </c>
      <c r="B314" s="584" t="s">
        <v>802</v>
      </c>
      <c r="C314" s="584" t="s">
        <v>156</v>
      </c>
      <c r="D314" s="584" t="s">
        <v>1549</v>
      </c>
      <c r="E314" s="584" t="s">
        <v>100</v>
      </c>
      <c r="F314" s="608">
        <v>109915.01</v>
      </c>
      <c r="G314" s="103"/>
      <c r="H314" s="103"/>
      <c r="I314" s="103">
        <v>110</v>
      </c>
    </row>
    <row r="315" spans="1:9" ht="15">
      <c r="A315" s="583" t="s">
        <v>803</v>
      </c>
      <c r="B315" s="584" t="s">
        <v>804</v>
      </c>
      <c r="C315" s="584" t="s">
        <v>156</v>
      </c>
      <c r="D315" s="584" t="s">
        <v>1549</v>
      </c>
      <c r="E315" s="584" t="s">
        <v>100</v>
      </c>
      <c r="F315" s="608">
        <v>810635.28</v>
      </c>
      <c r="G315" s="103">
        <v>4883.13</v>
      </c>
      <c r="H315" s="103">
        <v>5</v>
      </c>
      <c r="I315" s="103">
        <f>810+H315</f>
        <v>815</v>
      </c>
    </row>
    <row r="316" spans="1:9" ht="15">
      <c r="A316" s="583" t="s">
        <v>1590</v>
      </c>
      <c r="B316" s="584" t="s">
        <v>1591</v>
      </c>
      <c r="C316" s="584" t="s">
        <v>156</v>
      </c>
      <c r="D316" s="584" t="s">
        <v>1549</v>
      </c>
      <c r="E316" s="584" t="s">
        <v>100</v>
      </c>
      <c r="F316" s="608">
        <v>0</v>
      </c>
      <c r="G316" s="103">
        <v>5630.41</v>
      </c>
      <c r="H316" s="103">
        <v>6</v>
      </c>
      <c r="I316" s="103">
        <f>+H316</f>
        <v>6</v>
      </c>
    </row>
    <row r="317" spans="1:9" ht="15">
      <c r="A317" s="583" t="s">
        <v>805</v>
      </c>
      <c r="B317" s="584" t="s">
        <v>806</v>
      </c>
      <c r="C317" s="584" t="s">
        <v>156</v>
      </c>
      <c r="D317" s="584" t="s">
        <v>1550</v>
      </c>
      <c r="E317" s="584" t="s">
        <v>807</v>
      </c>
      <c r="F317" s="608">
        <v>1373220.5</v>
      </c>
      <c r="G317" s="103"/>
      <c r="H317" s="103"/>
      <c r="I317" s="103"/>
    </row>
    <row r="318" spans="1:9" ht="15">
      <c r="A318" s="583" t="s">
        <v>808</v>
      </c>
      <c r="B318" s="584" t="s">
        <v>735</v>
      </c>
      <c r="C318" s="584" t="s">
        <v>156</v>
      </c>
      <c r="D318" s="584" t="s">
        <v>1548</v>
      </c>
      <c r="E318" s="584" t="s">
        <v>100</v>
      </c>
      <c r="F318" s="608">
        <v>0</v>
      </c>
      <c r="G318" s="103"/>
      <c r="H318" s="103"/>
      <c r="I318" s="103"/>
    </row>
    <row r="319" spans="1:9" ht="15">
      <c r="A319" s="583" t="s">
        <v>809</v>
      </c>
      <c r="B319" s="584" t="s">
        <v>735</v>
      </c>
      <c r="C319" s="584" t="s">
        <v>156</v>
      </c>
      <c r="D319" s="584" t="s">
        <v>1549</v>
      </c>
      <c r="E319" s="584" t="s">
        <v>100</v>
      </c>
      <c r="F319" s="608">
        <v>0</v>
      </c>
      <c r="G319" s="103"/>
      <c r="H319" s="103"/>
      <c r="I319" s="103"/>
    </row>
    <row r="320" spans="1:9" ht="15">
      <c r="A320" s="583" t="s">
        <v>810</v>
      </c>
      <c r="B320" s="584" t="s">
        <v>811</v>
      </c>
      <c r="C320" s="584" t="s">
        <v>156</v>
      </c>
      <c r="D320" s="584" t="s">
        <v>1550</v>
      </c>
      <c r="E320" s="584" t="s">
        <v>812</v>
      </c>
      <c r="F320" s="608">
        <v>0</v>
      </c>
      <c r="G320" s="103"/>
      <c r="H320" s="103"/>
      <c r="I320" s="103"/>
    </row>
    <row r="321" spans="1:9" ht="15">
      <c r="A321" s="583" t="s">
        <v>813</v>
      </c>
      <c r="B321" s="584" t="s">
        <v>814</v>
      </c>
      <c r="C321" s="584" t="s">
        <v>156</v>
      </c>
      <c r="D321" s="584" t="s">
        <v>1550</v>
      </c>
      <c r="E321" s="584" t="s">
        <v>815</v>
      </c>
      <c r="F321" s="608">
        <v>1373220.5</v>
      </c>
      <c r="G321" s="103"/>
      <c r="H321" s="103"/>
      <c r="I321" s="103"/>
    </row>
    <row r="322" spans="1:9" ht="15">
      <c r="A322" s="583" t="s">
        <v>816</v>
      </c>
      <c r="B322" s="584" t="s">
        <v>817</v>
      </c>
      <c r="C322" s="584" t="s">
        <v>156</v>
      </c>
      <c r="D322" s="584" t="s">
        <v>1548</v>
      </c>
      <c r="E322" s="584" t="s">
        <v>100</v>
      </c>
      <c r="F322" s="608">
        <v>0</v>
      </c>
      <c r="G322" s="103"/>
      <c r="H322" s="103"/>
      <c r="I322" s="103"/>
    </row>
    <row r="323" spans="1:9" ht="15">
      <c r="A323" s="583" t="s">
        <v>818</v>
      </c>
      <c r="B323" s="584" t="s">
        <v>819</v>
      </c>
      <c r="C323" s="584" t="s">
        <v>156</v>
      </c>
      <c r="D323" s="584" t="s">
        <v>1549</v>
      </c>
      <c r="E323" s="584" t="s">
        <v>100</v>
      </c>
      <c r="F323" s="608">
        <v>37500</v>
      </c>
      <c r="G323" s="103"/>
      <c r="H323" s="103"/>
      <c r="I323" s="103">
        <v>38</v>
      </c>
    </row>
    <row r="324" spans="1:9" ht="15">
      <c r="A324" s="583" t="s">
        <v>820</v>
      </c>
      <c r="B324" s="584" t="s">
        <v>821</v>
      </c>
      <c r="C324" s="584" t="s">
        <v>156</v>
      </c>
      <c r="D324" s="584" t="s">
        <v>1550</v>
      </c>
      <c r="E324" s="584" t="s">
        <v>822</v>
      </c>
      <c r="F324" s="608">
        <v>37500</v>
      </c>
      <c r="G324" s="103"/>
      <c r="H324" s="103"/>
      <c r="I324" s="103"/>
    </row>
    <row r="325" spans="1:9" ht="15">
      <c r="A325" s="583" t="s">
        <v>823</v>
      </c>
      <c r="B325" s="584" t="s">
        <v>824</v>
      </c>
      <c r="C325" s="584" t="s">
        <v>156</v>
      </c>
      <c r="D325" s="584" t="s">
        <v>1548</v>
      </c>
      <c r="E325" s="584" t="s">
        <v>100</v>
      </c>
      <c r="F325" s="608">
        <v>0</v>
      </c>
      <c r="G325" s="103"/>
      <c r="H325" s="103"/>
      <c r="I325" s="103"/>
    </row>
    <row r="326" spans="1:9" ht="15">
      <c r="A326" s="583" t="s">
        <v>825</v>
      </c>
      <c r="B326" s="584" t="s">
        <v>826</v>
      </c>
      <c r="C326" s="584" t="s">
        <v>156</v>
      </c>
      <c r="D326" s="584" t="s">
        <v>1549</v>
      </c>
      <c r="E326" s="584" t="s">
        <v>100</v>
      </c>
      <c r="F326" s="608">
        <v>24901</v>
      </c>
      <c r="G326" s="103"/>
      <c r="H326" s="103"/>
      <c r="I326" s="103">
        <v>25</v>
      </c>
    </row>
    <row r="327" spans="1:9" ht="15">
      <c r="A327" s="583" t="s">
        <v>827</v>
      </c>
      <c r="B327" s="584" t="s">
        <v>828</v>
      </c>
      <c r="C327" s="584" t="s">
        <v>156</v>
      </c>
      <c r="D327" s="584" t="s">
        <v>1550</v>
      </c>
      <c r="E327" s="584" t="s">
        <v>829</v>
      </c>
      <c r="F327" s="608">
        <v>24901</v>
      </c>
      <c r="G327" s="103"/>
      <c r="H327" s="103"/>
      <c r="I327" s="103"/>
    </row>
    <row r="328" spans="1:9" ht="15">
      <c r="A328" s="583" t="s">
        <v>830</v>
      </c>
      <c r="B328" s="584" t="s">
        <v>831</v>
      </c>
      <c r="C328" s="584" t="s">
        <v>156</v>
      </c>
      <c r="D328" s="584" t="s">
        <v>1550</v>
      </c>
      <c r="E328" s="584" t="s">
        <v>832</v>
      </c>
      <c r="F328" s="608">
        <v>2337342.7400000002</v>
      </c>
      <c r="G328" s="103"/>
      <c r="H328" s="103"/>
      <c r="I328" s="103"/>
    </row>
    <row r="329" spans="1:9" ht="15">
      <c r="A329" s="583" t="s">
        <v>833</v>
      </c>
      <c r="B329" s="584" t="s">
        <v>97</v>
      </c>
      <c r="C329" s="584" t="s">
        <v>156</v>
      </c>
      <c r="D329" s="584" t="s">
        <v>1548</v>
      </c>
      <c r="E329" s="584" t="s">
        <v>100</v>
      </c>
      <c r="F329" s="608">
        <v>0</v>
      </c>
      <c r="G329" s="103"/>
      <c r="H329" s="103"/>
      <c r="I329" s="103"/>
    </row>
    <row r="330" spans="1:9" ht="15">
      <c r="A330" s="583" t="s">
        <v>834</v>
      </c>
      <c r="B330" s="584" t="s">
        <v>835</v>
      </c>
      <c r="C330" s="584" t="s">
        <v>156</v>
      </c>
      <c r="D330" s="584" t="s">
        <v>1549</v>
      </c>
      <c r="E330" s="584" t="s">
        <v>100</v>
      </c>
      <c r="F330" s="608">
        <v>2091.67</v>
      </c>
      <c r="G330" s="103"/>
      <c r="H330" s="103"/>
      <c r="I330" s="103">
        <v>2</v>
      </c>
    </row>
    <row r="331" spans="1:9" ht="15">
      <c r="A331" s="583" t="s">
        <v>836</v>
      </c>
      <c r="B331" s="584" t="s">
        <v>837</v>
      </c>
      <c r="C331" s="584" t="s">
        <v>156</v>
      </c>
      <c r="D331" s="584" t="s">
        <v>1549</v>
      </c>
      <c r="E331" s="584" t="s">
        <v>100</v>
      </c>
      <c r="F331" s="608">
        <v>23116.16</v>
      </c>
      <c r="G331" s="103"/>
      <c r="H331" s="103"/>
      <c r="I331" s="103">
        <v>23</v>
      </c>
    </row>
    <row r="332" spans="1:9" ht="15">
      <c r="A332" s="583" t="s">
        <v>838</v>
      </c>
      <c r="B332" s="584" t="s">
        <v>839</v>
      </c>
      <c r="C332" s="584" t="s">
        <v>156</v>
      </c>
      <c r="D332" s="584" t="s">
        <v>1550</v>
      </c>
      <c r="E332" s="584" t="s">
        <v>840</v>
      </c>
      <c r="F332" s="608">
        <v>25207.83</v>
      </c>
      <c r="G332" s="103"/>
      <c r="H332" s="103"/>
      <c r="I332" s="103"/>
    </row>
    <row r="333" spans="1:9" ht="15">
      <c r="A333" s="583" t="s">
        <v>841</v>
      </c>
      <c r="B333" s="584" t="s">
        <v>1152</v>
      </c>
      <c r="C333" s="584" t="s">
        <v>156</v>
      </c>
      <c r="D333" s="584" t="s">
        <v>1550</v>
      </c>
      <c r="E333" s="584" t="s">
        <v>843</v>
      </c>
      <c r="F333" s="608">
        <v>16453797.210000001</v>
      </c>
      <c r="G333" s="103"/>
      <c r="H333" s="103"/>
      <c r="I333" s="103"/>
    </row>
    <row r="334" spans="1:9" ht="15">
      <c r="A334" s="583" t="s">
        <v>844</v>
      </c>
      <c r="B334" s="584" t="s">
        <v>1594</v>
      </c>
      <c r="C334" s="584" t="s">
        <v>156</v>
      </c>
      <c r="D334" s="584" t="s">
        <v>1548</v>
      </c>
      <c r="E334" s="584" t="s">
        <v>100</v>
      </c>
      <c r="F334" s="608">
        <v>0</v>
      </c>
      <c r="G334" s="103"/>
      <c r="H334" s="103"/>
      <c r="I334" s="103"/>
    </row>
    <row r="335" spans="1:9" ht="15">
      <c r="A335" s="583" t="s">
        <v>846</v>
      </c>
      <c r="B335" s="584" t="s">
        <v>847</v>
      </c>
      <c r="C335" s="584" t="s">
        <v>156</v>
      </c>
      <c r="D335" s="584" t="s">
        <v>1549</v>
      </c>
      <c r="E335" s="584" t="s">
        <v>100</v>
      </c>
      <c r="F335" s="608">
        <v>950594.47</v>
      </c>
      <c r="G335" s="103">
        <v>5775.14</v>
      </c>
      <c r="H335" s="103">
        <v>5</v>
      </c>
      <c r="I335" s="103">
        <f>951+H335</f>
        <v>956</v>
      </c>
    </row>
    <row r="336" spans="1:9" ht="15">
      <c r="A336" s="583" t="s">
        <v>848</v>
      </c>
      <c r="B336" s="584" t="s">
        <v>1533</v>
      </c>
      <c r="C336" s="584" t="s">
        <v>156</v>
      </c>
      <c r="D336" s="584" t="s">
        <v>1549</v>
      </c>
      <c r="E336" s="584" t="s">
        <v>100</v>
      </c>
      <c r="F336" s="608">
        <v>0</v>
      </c>
      <c r="G336" s="103"/>
      <c r="H336" s="103"/>
      <c r="I336" s="103"/>
    </row>
    <row r="337" spans="1:12" ht="15">
      <c r="A337" s="583" t="s">
        <v>850</v>
      </c>
      <c r="B337" s="584" t="s">
        <v>851</v>
      </c>
      <c r="C337" s="584" t="s">
        <v>156</v>
      </c>
      <c r="D337" s="584" t="s">
        <v>1550</v>
      </c>
      <c r="E337" s="584" t="s">
        <v>852</v>
      </c>
      <c r="F337" s="608">
        <v>950594.47</v>
      </c>
      <c r="G337" s="103"/>
      <c r="H337" s="103"/>
      <c r="I337" s="103"/>
    </row>
    <row r="338" spans="1:12" ht="15">
      <c r="A338" s="583" t="s">
        <v>853</v>
      </c>
      <c r="B338" s="584" t="s">
        <v>854</v>
      </c>
      <c r="C338" s="584" t="s">
        <v>156</v>
      </c>
      <c r="D338" s="584" t="s">
        <v>1548</v>
      </c>
      <c r="E338" s="584" t="s">
        <v>100</v>
      </c>
      <c r="F338" s="608">
        <v>0</v>
      </c>
      <c r="G338" s="103"/>
      <c r="H338" s="103"/>
      <c r="I338" s="103"/>
    </row>
    <row r="339" spans="1:12" ht="15">
      <c r="A339" s="583" t="s">
        <v>855</v>
      </c>
      <c r="B339" s="584" t="s">
        <v>1595</v>
      </c>
      <c r="C339" s="584" t="s">
        <v>156</v>
      </c>
      <c r="D339" s="584" t="s">
        <v>1549</v>
      </c>
      <c r="E339" s="584" t="s">
        <v>100</v>
      </c>
      <c r="F339" s="608">
        <v>0</v>
      </c>
      <c r="G339" s="103"/>
      <c r="H339" s="103"/>
      <c r="I339" s="103"/>
    </row>
    <row r="340" spans="1:12" ht="15">
      <c r="A340" s="583" t="s">
        <v>857</v>
      </c>
      <c r="B340" s="584" t="s">
        <v>858</v>
      </c>
      <c r="C340" s="584" t="s">
        <v>156</v>
      </c>
      <c r="D340" s="584" t="s">
        <v>1549</v>
      </c>
      <c r="E340" s="584" t="s">
        <v>100</v>
      </c>
      <c r="F340" s="608">
        <v>0</v>
      </c>
      <c r="G340" s="103"/>
      <c r="H340" s="103"/>
      <c r="I340" s="103"/>
    </row>
    <row r="341" spans="1:12" ht="15">
      <c r="A341" s="583" t="s">
        <v>859</v>
      </c>
      <c r="B341" s="584" t="s">
        <v>1596</v>
      </c>
      <c r="C341" s="584" t="s">
        <v>156</v>
      </c>
      <c r="D341" s="584" t="s">
        <v>1549</v>
      </c>
      <c r="E341" s="584" t="s">
        <v>100</v>
      </c>
      <c r="F341" s="608">
        <v>0</v>
      </c>
      <c r="G341" s="103">
        <f>-16297-74754</f>
        <v>-91051</v>
      </c>
      <c r="H341" s="103">
        <v>-91</v>
      </c>
      <c r="I341" s="103">
        <f>+H341</f>
        <v>-91</v>
      </c>
      <c r="K341" s="103">
        <v>16542</v>
      </c>
    </row>
    <row r="342" spans="1:12" ht="15">
      <c r="A342" s="583" t="s">
        <v>861</v>
      </c>
      <c r="B342" s="584" t="s">
        <v>862</v>
      </c>
      <c r="C342" s="584" t="s">
        <v>156</v>
      </c>
      <c r="D342" s="584" t="s">
        <v>1584</v>
      </c>
      <c r="E342" s="584" t="s">
        <v>863</v>
      </c>
      <c r="F342" s="608">
        <v>950594.47</v>
      </c>
      <c r="G342" s="103"/>
      <c r="H342" s="103"/>
      <c r="I342" s="103"/>
    </row>
    <row r="343" spans="1:12" ht="15">
      <c r="A343" s="583" t="s">
        <v>864</v>
      </c>
      <c r="B343" s="584" t="s">
        <v>1152</v>
      </c>
      <c r="C343" s="584" t="s">
        <v>156</v>
      </c>
      <c r="D343" s="584" t="s">
        <v>1584</v>
      </c>
      <c r="E343" s="584" t="s">
        <v>866</v>
      </c>
      <c r="F343" s="608">
        <v>17404391.68</v>
      </c>
      <c r="G343" s="103"/>
      <c r="H343" s="103"/>
      <c r="I343" s="103"/>
    </row>
    <row r="344" spans="1:12" ht="15">
      <c r="A344" s="583" t="s">
        <v>867</v>
      </c>
      <c r="B344" s="584" t="s">
        <v>868</v>
      </c>
      <c r="C344" s="584" t="s">
        <v>156</v>
      </c>
      <c r="D344" s="584" t="s">
        <v>1584</v>
      </c>
      <c r="E344" s="584" t="s">
        <v>869</v>
      </c>
      <c r="F344" s="608">
        <v>-759277.6</v>
      </c>
      <c r="G344" s="545">
        <f>SUM(G4:G343)</f>
        <v>5674.4400000000023</v>
      </c>
      <c r="H344" s="545"/>
      <c r="J344" s="545">
        <f>SUM(I4:I343)</f>
        <v>-752</v>
      </c>
      <c r="L344">
        <v>-766275.87</v>
      </c>
    </row>
    <row r="345" spans="1:12" ht="15">
      <c r="A345" s="583" t="s">
        <v>870</v>
      </c>
      <c r="B345" s="584" t="s">
        <v>871</v>
      </c>
      <c r="C345" s="584" t="s">
        <v>872</v>
      </c>
      <c r="D345" s="584" t="s">
        <v>1548</v>
      </c>
      <c r="E345" s="584" t="s">
        <v>100</v>
      </c>
      <c r="F345" s="611">
        <v>0</v>
      </c>
      <c r="G345" s="32"/>
      <c r="H345" s="32"/>
      <c r="I345" s="32"/>
    </row>
    <row r="346" spans="1:12" ht="15">
      <c r="A346" s="583" t="s">
        <v>873</v>
      </c>
      <c r="B346" s="584" t="s">
        <v>874</v>
      </c>
      <c r="C346" s="584" t="s">
        <v>872</v>
      </c>
      <c r="D346" s="584" t="s">
        <v>1548</v>
      </c>
      <c r="E346" s="584" t="s">
        <v>100</v>
      </c>
      <c r="F346" s="611">
        <v>0</v>
      </c>
      <c r="G346" s="32"/>
      <c r="H346" s="32"/>
      <c r="I346" s="32"/>
    </row>
    <row r="347" spans="1:12" ht="15">
      <c r="A347" s="583" t="s">
        <v>875</v>
      </c>
      <c r="B347" s="584" t="s">
        <v>876</v>
      </c>
      <c r="C347" s="584" t="s">
        <v>872</v>
      </c>
      <c r="D347" s="584" t="s">
        <v>1548</v>
      </c>
      <c r="E347" s="584" t="s">
        <v>100</v>
      </c>
      <c r="F347" s="611">
        <v>0</v>
      </c>
      <c r="G347" s="32"/>
      <c r="H347" s="32"/>
      <c r="I347" s="32"/>
    </row>
    <row r="348" spans="1:12" ht="15">
      <c r="A348" s="583" t="s">
        <v>877</v>
      </c>
      <c r="B348" s="584" t="s">
        <v>878</v>
      </c>
      <c r="C348" s="584" t="s">
        <v>872</v>
      </c>
      <c r="D348" s="584" t="s">
        <v>1549</v>
      </c>
      <c r="E348" s="584" t="s">
        <v>100</v>
      </c>
      <c r="F348" s="611">
        <v>28500000</v>
      </c>
      <c r="G348" s="32"/>
      <c r="H348" s="32"/>
      <c r="I348" s="32">
        <v>28500</v>
      </c>
    </row>
    <row r="349" spans="1:12" ht="15">
      <c r="A349" s="583" t="s">
        <v>879</v>
      </c>
      <c r="B349" s="584" t="s">
        <v>880</v>
      </c>
      <c r="C349" s="584" t="s">
        <v>872</v>
      </c>
      <c r="D349" s="584" t="s">
        <v>1549</v>
      </c>
      <c r="E349" s="584" t="s">
        <v>100</v>
      </c>
      <c r="F349" s="611">
        <v>22657400</v>
      </c>
      <c r="G349" s="32"/>
      <c r="H349" s="32"/>
      <c r="I349" s="32">
        <v>22657</v>
      </c>
    </row>
    <row r="350" spans="1:12" ht="15">
      <c r="A350" s="583" t="s">
        <v>881</v>
      </c>
      <c r="B350" s="584" t="s">
        <v>882</v>
      </c>
      <c r="C350" s="584" t="s">
        <v>872</v>
      </c>
      <c r="D350" s="584" t="s">
        <v>1549</v>
      </c>
      <c r="E350" s="584" t="s">
        <v>100</v>
      </c>
      <c r="F350" s="611">
        <v>4050000</v>
      </c>
      <c r="G350" s="32"/>
      <c r="H350" s="32"/>
      <c r="I350" s="32">
        <v>4050</v>
      </c>
    </row>
    <row r="351" spans="1:12" ht="15">
      <c r="A351" s="583" t="s">
        <v>883</v>
      </c>
      <c r="B351" s="584" t="s">
        <v>884</v>
      </c>
      <c r="C351" s="584" t="s">
        <v>872</v>
      </c>
      <c r="D351" s="584" t="s">
        <v>1549</v>
      </c>
      <c r="E351" s="584" t="s">
        <v>100</v>
      </c>
      <c r="F351" s="611">
        <v>101601</v>
      </c>
      <c r="G351" s="32"/>
      <c r="H351" s="32"/>
      <c r="I351" s="32">
        <v>102</v>
      </c>
    </row>
    <row r="352" spans="1:12" ht="15">
      <c r="A352" s="583" t="s">
        <v>885</v>
      </c>
      <c r="B352" s="584" t="s">
        <v>886</v>
      </c>
      <c r="C352" s="584" t="s">
        <v>872</v>
      </c>
      <c r="D352" s="584" t="s">
        <v>1549</v>
      </c>
      <c r="E352" s="584" t="s">
        <v>100</v>
      </c>
      <c r="F352" s="611">
        <v>140400</v>
      </c>
      <c r="G352" s="32"/>
      <c r="H352" s="32"/>
      <c r="I352" s="32">
        <v>140</v>
      </c>
    </row>
    <row r="353" spans="1:12" ht="15">
      <c r="A353" s="583" t="s">
        <v>887</v>
      </c>
      <c r="B353" s="584" t="s">
        <v>888</v>
      </c>
      <c r="C353" s="584" t="s">
        <v>872</v>
      </c>
      <c r="D353" s="584" t="s">
        <v>1549</v>
      </c>
      <c r="E353" s="584" t="s">
        <v>100</v>
      </c>
      <c r="F353" s="611">
        <v>200000</v>
      </c>
      <c r="G353" s="32"/>
      <c r="H353" s="32"/>
      <c r="I353" s="32">
        <v>200</v>
      </c>
    </row>
    <row r="354" spans="1:12" ht="15">
      <c r="A354" s="583" t="s">
        <v>1597</v>
      </c>
      <c r="B354" s="584" t="s">
        <v>1582</v>
      </c>
      <c r="C354" s="584" t="s">
        <v>872</v>
      </c>
      <c r="D354" s="584" t="s">
        <v>1549</v>
      </c>
      <c r="E354" s="584" t="s">
        <v>100</v>
      </c>
      <c r="F354" s="611">
        <v>-91051</v>
      </c>
      <c r="G354" s="32"/>
      <c r="H354" s="32"/>
      <c r="I354" s="32">
        <v>-91</v>
      </c>
    </row>
    <row r="355" spans="1:12" ht="15">
      <c r="A355" s="583" t="s">
        <v>1598</v>
      </c>
      <c r="B355" s="584" t="s">
        <v>1599</v>
      </c>
      <c r="C355" s="584" t="s">
        <v>872</v>
      </c>
      <c r="D355" s="584" t="s">
        <v>1549</v>
      </c>
      <c r="E355" s="584" t="s">
        <v>100</v>
      </c>
      <c r="F355" s="611">
        <v>747104.51</v>
      </c>
      <c r="G355" s="32"/>
      <c r="H355" s="32"/>
      <c r="I355" s="32">
        <v>747</v>
      </c>
    </row>
    <row r="356" spans="1:12" ht="15">
      <c r="A356" s="583" t="s">
        <v>889</v>
      </c>
      <c r="B356" s="584" t="s">
        <v>890</v>
      </c>
      <c r="C356" s="584" t="s">
        <v>872</v>
      </c>
      <c r="D356" s="584" t="s">
        <v>1550</v>
      </c>
      <c r="E356" s="584" t="s">
        <v>891</v>
      </c>
      <c r="F356" s="611">
        <v>56305454.509999998</v>
      </c>
      <c r="G356" s="32"/>
      <c r="H356" s="32"/>
      <c r="I356" s="32"/>
    </row>
    <row r="357" spans="1:12" ht="15">
      <c r="A357" s="583" t="s">
        <v>892</v>
      </c>
      <c r="B357" s="584" t="s">
        <v>893</v>
      </c>
      <c r="C357" s="584" t="s">
        <v>872</v>
      </c>
      <c r="D357" s="584" t="s">
        <v>1548</v>
      </c>
      <c r="E357" s="584" t="s">
        <v>100</v>
      </c>
      <c r="F357" s="611">
        <v>0</v>
      </c>
      <c r="G357" s="32"/>
      <c r="H357" s="32"/>
      <c r="I357" s="32"/>
    </row>
    <row r="358" spans="1:12" ht="15">
      <c r="A358" s="583" t="s">
        <v>894</v>
      </c>
      <c r="B358" s="584" t="s">
        <v>895</v>
      </c>
      <c r="C358" s="584" t="s">
        <v>872</v>
      </c>
      <c r="D358" s="584" t="s">
        <v>1549</v>
      </c>
      <c r="E358" s="584" t="s">
        <v>100</v>
      </c>
      <c r="F358" s="611">
        <v>168000</v>
      </c>
      <c r="G358" s="32"/>
      <c r="H358" s="32"/>
      <c r="I358" s="32">
        <v>168</v>
      </c>
    </row>
    <row r="359" spans="1:12" ht="15">
      <c r="A359" s="583" t="s">
        <v>896</v>
      </c>
      <c r="B359" s="584" t="s">
        <v>897</v>
      </c>
      <c r="C359" s="584" t="s">
        <v>872</v>
      </c>
      <c r="D359" s="584" t="s">
        <v>1550</v>
      </c>
      <c r="E359" s="584" t="s">
        <v>898</v>
      </c>
      <c r="F359" s="611">
        <v>168000</v>
      </c>
      <c r="G359" s="32"/>
      <c r="H359" s="32"/>
      <c r="I359" s="32"/>
    </row>
    <row r="360" spans="1:12" ht="15">
      <c r="A360" s="583" t="s">
        <v>1600</v>
      </c>
      <c r="B360" s="584" t="s">
        <v>1601</v>
      </c>
      <c r="C360" s="584" t="s">
        <v>872</v>
      </c>
      <c r="D360" s="584" t="s">
        <v>1548</v>
      </c>
      <c r="E360" s="584" t="s">
        <v>100</v>
      </c>
      <c r="F360" s="611">
        <v>0</v>
      </c>
      <c r="G360" s="32"/>
      <c r="H360" s="32"/>
      <c r="I360" s="32"/>
    </row>
    <row r="361" spans="1:12" ht="15">
      <c r="A361" s="583" t="s">
        <v>1602</v>
      </c>
      <c r="B361" s="584" t="s">
        <v>1603</v>
      </c>
      <c r="C361" s="584" t="s">
        <v>872</v>
      </c>
      <c r="D361" s="584" t="s">
        <v>1549</v>
      </c>
      <c r="E361" s="584" t="s">
        <v>100</v>
      </c>
      <c r="F361" s="611">
        <v>337824.31</v>
      </c>
      <c r="G361" s="32">
        <v>-5630.41</v>
      </c>
      <c r="H361" s="32">
        <v>-6</v>
      </c>
      <c r="I361" s="32">
        <f>338+H361</f>
        <v>332</v>
      </c>
      <c r="K361" s="32"/>
      <c r="L361" s="32"/>
    </row>
    <row r="362" spans="1:12" ht="15">
      <c r="A362" s="583" t="s">
        <v>1604</v>
      </c>
      <c r="B362" s="584" t="s">
        <v>1605</v>
      </c>
      <c r="C362" s="584" t="s">
        <v>872</v>
      </c>
      <c r="D362" s="584" t="s">
        <v>1550</v>
      </c>
      <c r="E362" s="584" t="s">
        <v>1606</v>
      </c>
      <c r="F362" s="611">
        <v>337824.31</v>
      </c>
      <c r="G362" s="32"/>
      <c r="H362" s="32"/>
      <c r="I362" s="32"/>
    </row>
    <row r="363" spans="1:12" ht="15">
      <c r="A363" s="583" t="s">
        <v>899</v>
      </c>
      <c r="B363" s="584" t="s">
        <v>900</v>
      </c>
      <c r="C363" s="584" t="s">
        <v>872</v>
      </c>
      <c r="D363" s="584" t="s">
        <v>1548</v>
      </c>
      <c r="E363" s="584" t="s">
        <v>100</v>
      </c>
      <c r="F363" s="611">
        <v>0</v>
      </c>
      <c r="G363" s="32"/>
      <c r="H363" s="32"/>
      <c r="I363" s="32"/>
    </row>
    <row r="364" spans="1:12" ht="15">
      <c r="A364" s="583" t="s">
        <v>901</v>
      </c>
      <c r="B364" s="584" t="s">
        <v>902</v>
      </c>
      <c r="C364" s="584" t="s">
        <v>872</v>
      </c>
      <c r="D364" s="584" t="s">
        <v>1549</v>
      </c>
      <c r="E364" s="584" t="s">
        <v>100</v>
      </c>
      <c r="F364" s="611">
        <v>3366400</v>
      </c>
      <c r="G364" s="32"/>
      <c r="H364" s="32"/>
      <c r="I364" s="32">
        <v>3366</v>
      </c>
    </row>
    <row r="365" spans="1:12" ht="15">
      <c r="A365" s="583" t="s">
        <v>903</v>
      </c>
      <c r="B365" s="584" t="s">
        <v>904</v>
      </c>
      <c r="C365" s="584" t="s">
        <v>872</v>
      </c>
      <c r="D365" s="584" t="s">
        <v>1549</v>
      </c>
      <c r="E365" s="584" t="s">
        <v>100</v>
      </c>
      <c r="F365" s="611">
        <v>81875</v>
      </c>
      <c r="G365" s="32"/>
      <c r="H365" s="32"/>
      <c r="I365" s="32">
        <v>82</v>
      </c>
    </row>
    <row r="366" spans="1:12" ht="15">
      <c r="A366" s="583" t="s">
        <v>905</v>
      </c>
      <c r="B366" s="584" t="s">
        <v>906</v>
      </c>
      <c r="C366" s="584" t="s">
        <v>872</v>
      </c>
      <c r="D366" s="584" t="s">
        <v>1549</v>
      </c>
      <c r="E366" s="584" t="s">
        <v>100</v>
      </c>
      <c r="F366" s="611">
        <v>8250</v>
      </c>
      <c r="G366" s="32"/>
      <c r="H366" s="32"/>
      <c r="I366" s="32">
        <v>8</v>
      </c>
    </row>
    <row r="367" spans="1:12" ht="15">
      <c r="A367" s="583" t="s">
        <v>907</v>
      </c>
      <c r="B367" s="584" t="s">
        <v>908</v>
      </c>
      <c r="C367" s="584" t="s">
        <v>872</v>
      </c>
      <c r="D367" s="584" t="s">
        <v>1549</v>
      </c>
      <c r="E367" s="584" t="s">
        <v>100</v>
      </c>
      <c r="F367" s="611">
        <v>1900337</v>
      </c>
      <c r="G367" s="32"/>
      <c r="H367" s="32"/>
      <c r="I367" s="32">
        <v>1900</v>
      </c>
    </row>
    <row r="368" spans="1:12" ht="15">
      <c r="A368" s="583" t="s">
        <v>909</v>
      </c>
      <c r="B368" s="584" t="s">
        <v>910</v>
      </c>
      <c r="C368" s="584" t="s">
        <v>872</v>
      </c>
      <c r="D368" s="584" t="s">
        <v>1549</v>
      </c>
      <c r="E368" s="584" t="s">
        <v>100</v>
      </c>
      <c r="F368" s="611">
        <v>-17900.5</v>
      </c>
      <c r="G368" s="32"/>
      <c r="H368" s="32"/>
      <c r="I368" s="32">
        <v>-18</v>
      </c>
    </row>
    <row r="369" spans="1:9" ht="15">
      <c r="A369" s="583" t="s">
        <v>911</v>
      </c>
      <c r="B369" s="584" t="s">
        <v>912</v>
      </c>
      <c r="C369" s="584" t="s">
        <v>872</v>
      </c>
      <c r="D369" s="584" t="s">
        <v>1549</v>
      </c>
      <c r="E369" s="584" t="s">
        <v>100</v>
      </c>
      <c r="F369" s="611">
        <v>1500000</v>
      </c>
      <c r="G369" s="32"/>
      <c r="H369" s="32"/>
      <c r="I369" s="32">
        <v>1500</v>
      </c>
    </row>
    <row r="370" spans="1:9" ht="15">
      <c r="A370" s="583" t="s">
        <v>913</v>
      </c>
      <c r="B370" s="584" t="s">
        <v>914</v>
      </c>
      <c r="C370" s="584" t="s">
        <v>872</v>
      </c>
      <c r="D370" s="584" t="s">
        <v>1550</v>
      </c>
      <c r="E370" s="584" t="s">
        <v>915</v>
      </c>
      <c r="F370" s="611">
        <v>6838961.5</v>
      </c>
      <c r="G370" s="32"/>
      <c r="H370" s="32"/>
      <c r="I370" s="32"/>
    </row>
    <row r="371" spans="1:9" ht="15">
      <c r="A371" s="583" t="s">
        <v>916</v>
      </c>
      <c r="B371" s="584" t="s">
        <v>917</v>
      </c>
      <c r="C371" s="584" t="s">
        <v>872</v>
      </c>
      <c r="D371" s="584" t="s">
        <v>1550</v>
      </c>
      <c r="E371" s="584" t="s">
        <v>918</v>
      </c>
      <c r="F371" s="611">
        <v>63650240.32</v>
      </c>
      <c r="G371" s="32"/>
      <c r="H371" s="32"/>
      <c r="I371" s="32"/>
    </row>
    <row r="372" spans="1:9" ht="15">
      <c r="A372" s="583" t="s">
        <v>919</v>
      </c>
      <c r="B372" s="584" t="s">
        <v>920</v>
      </c>
      <c r="C372" s="584" t="s">
        <v>872</v>
      </c>
      <c r="D372" s="584" t="s">
        <v>1548</v>
      </c>
      <c r="E372" s="584" t="s">
        <v>100</v>
      </c>
      <c r="F372" s="611">
        <v>0</v>
      </c>
      <c r="G372" s="32"/>
      <c r="H372" s="32"/>
      <c r="I372" s="32"/>
    </row>
    <row r="373" spans="1:9" ht="15">
      <c r="A373" s="583" t="s">
        <v>921</v>
      </c>
      <c r="B373" s="584" t="s">
        <v>922</v>
      </c>
      <c r="C373" s="584" t="s">
        <v>872</v>
      </c>
      <c r="D373" s="584" t="s">
        <v>1548</v>
      </c>
      <c r="E373" s="584" t="s">
        <v>100</v>
      </c>
      <c r="F373" s="611">
        <v>0</v>
      </c>
      <c r="G373" s="32"/>
      <c r="H373" s="32"/>
      <c r="I373" s="32"/>
    </row>
    <row r="374" spans="1:9" ht="15">
      <c r="A374" s="583" t="s">
        <v>923</v>
      </c>
      <c r="B374" s="584" t="s">
        <v>924</v>
      </c>
      <c r="C374" s="584" t="s">
        <v>872</v>
      </c>
      <c r="D374" s="584" t="s">
        <v>1549</v>
      </c>
      <c r="E374" s="584" t="s">
        <v>100</v>
      </c>
      <c r="F374" s="611">
        <v>516384.01</v>
      </c>
      <c r="G374" s="32"/>
      <c r="H374" s="32"/>
      <c r="I374" s="32">
        <v>516</v>
      </c>
    </row>
    <row r="375" spans="1:9" ht="15">
      <c r="A375" s="583" t="s">
        <v>925</v>
      </c>
      <c r="B375" s="584" t="s">
        <v>926</v>
      </c>
      <c r="C375" s="584" t="s">
        <v>872</v>
      </c>
      <c r="D375" s="584" t="s">
        <v>1549</v>
      </c>
      <c r="E375" s="584" t="s">
        <v>100</v>
      </c>
      <c r="F375" s="611">
        <v>0</v>
      </c>
      <c r="G375" s="32"/>
      <c r="H375" s="32"/>
      <c r="I375" s="32"/>
    </row>
    <row r="376" spans="1:9" ht="15">
      <c r="A376" s="583" t="s">
        <v>927</v>
      </c>
      <c r="B376" s="584" t="s">
        <v>1607</v>
      </c>
      <c r="C376" s="584" t="s">
        <v>872</v>
      </c>
      <c r="D376" s="584" t="s">
        <v>1549</v>
      </c>
      <c r="E376" s="584" t="s">
        <v>100</v>
      </c>
      <c r="F376" s="611">
        <v>0</v>
      </c>
      <c r="G376" s="32"/>
      <c r="H376" s="32"/>
      <c r="I376" s="32"/>
    </row>
    <row r="377" spans="1:9" ht="15">
      <c r="A377" s="583" t="s">
        <v>929</v>
      </c>
      <c r="B377" s="584" t="s">
        <v>930</v>
      </c>
      <c r="C377" s="584" t="s">
        <v>872</v>
      </c>
      <c r="D377" s="584" t="s">
        <v>1549</v>
      </c>
      <c r="E377" s="584" t="s">
        <v>100</v>
      </c>
      <c r="F377" s="611">
        <v>0</v>
      </c>
      <c r="G377" s="32"/>
      <c r="H377" s="32"/>
      <c r="I377" s="32"/>
    </row>
    <row r="378" spans="1:9" ht="15">
      <c r="A378" s="583" t="s">
        <v>931</v>
      </c>
      <c r="B378" s="584" t="s">
        <v>932</v>
      </c>
      <c r="C378" s="584" t="s">
        <v>872</v>
      </c>
      <c r="D378" s="584" t="s">
        <v>1549</v>
      </c>
      <c r="E378" s="584" t="s">
        <v>100</v>
      </c>
      <c r="F378" s="611">
        <v>296473.96000000002</v>
      </c>
      <c r="G378" s="32">
        <f>3499+3499</f>
        <v>6998</v>
      </c>
      <c r="H378" s="32">
        <f>3+3</f>
        <v>6</v>
      </c>
      <c r="I378" s="32">
        <v>304</v>
      </c>
    </row>
    <row r="379" spans="1:9" ht="15">
      <c r="A379" s="583" t="s">
        <v>933</v>
      </c>
      <c r="B379" s="584" t="s">
        <v>934</v>
      </c>
      <c r="C379" s="584" t="s">
        <v>872</v>
      </c>
      <c r="D379" s="584" t="s">
        <v>1549</v>
      </c>
      <c r="E379" s="584" t="s">
        <v>100</v>
      </c>
      <c r="F379" s="611">
        <v>0</v>
      </c>
      <c r="G379" s="32"/>
      <c r="H379" s="32"/>
      <c r="I379" s="32"/>
    </row>
    <row r="380" spans="1:9" ht="15">
      <c r="A380" s="583" t="s">
        <v>935</v>
      </c>
      <c r="B380" s="584" t="s">
        <v>936</v>
      </c>
      <c r="C380" s="584" t="s">
        <v>872</v>
      </c>
      <c r="D380" s="584" t="s">
        <v>1549</v>
      </c>
      <c r="E380" s="584" t="s">
        <v>100</v>
      </c>
      <c r="F380" s="611">
        <v>55000</v>
      </c>
      <c r="G380" s="32"/>
      <c r="H380" s="32"/>
      <c r="I380" s="32">
        <v>55</v>
      </c>
    </row>
    <row r="381" spans="1:9" ht="15">
      <c r="A381" s="583" t="s">
        <v>937</v>
      </c>
      <c r="B381" s="584" t="s">
        <v>938</v>
      </c>
      <c r="C381" s="584" t="s">
        <v>872</v>
      </c>
      <c r="D381" s="584" t="s">
        <v>1550</v>
      </c>
      <c r="E381" s="584" t="s">
        <v>939</v>
      </c>
      <c r="F381" s="611">
        <v>867857.97</v>
      </c>
      <c r="G381" s="32"/>
      <c r="H381" s="32"/>
      <c r="I381" s="32"/>
    </row>
    <row r="382" spans="1:9" ht="15">
      <c r="A382" s="583" t="s">
        <v>940</v>
      </c>
      <c r="B382" s="584" t="s">
        <v>941</v>
      </c>
      <c r="C382" s="584" t="s">
        <v>872</v>
      </c>
      <c r="D382" s="584" t="s">
        <v>1548</v>
      </c>
      <c r="E382" s="584" t="s">
        <v>100</v>
      </c>
      <c r="F382" s="611">
        <v>0</v>
      </c>
      <c r="G382" s="32"/>
      <c r="H382" s="32"/>
      <c r="I382" s="32"/>
    </row>
    <row r="383" spans="1:9" ht="15">
      <c r="A383" s="583" t="s">
        <v>942</v>
      </c>
      <c r="B383" s="584" t="s">
        <v>943</v>
      </c>
      <c r="C383" s="584" t="s">
        <v>872</v>
      </c>
      <c r="D383" s="584" t="s">
        <v>1549</v>
      </c>
      <c r="E383" s="584" t="s">
        <v>100</v>
      </c>
      <c r="F383" s="611">
        <v>23500</v>
      </c>
      <c r="G383" s="32"/>
      <c r="H383" s="32"/>
      <c r="I383" s="32">
        <v>24</v>
      </c>
    </row>
    <row r="384" spans="1:9" ht="15">
      <c r="A384" s="583" t="s">
        <v>944</v>
      </c>
      <c r="B384" s="584" t="s">
        <v>945</v>
      </c>
      <c r="C384" s="584" t="s">
        <v>872</v>
      </c>
      <c r="D384" s="584" t="s">
        <v>1549</v>
      </c>
      <c r="E384" s="584" t="s">
        <v>100</v>
      </c>
      <c r="F384" s="611">
        <v>10000</v>
      </c>
      <c r="G384" s="32"/>
      <c r="H384" s="32"/>
      <c r="I384" s="32">
        <v>10</v>
      </c>
    </row>
    <row r="385" spans="1:9" ht="15">
      <c r="A385" s="583" t="s">
        <v>946</v>
      </c>
      <c r="B385" s="584" t="s">
        <v>947</v>
      </c>
      <c r="C385" s="584" t="s">
        <v>872</v>
      </c>
      <c r="D385" s="584" t="s">
        <v>1549</v>
      </c>
      <c r="E385" s="584" t="s">
        <v>100</v>
      </c>
      <c r="F385" s="611">
        <v>500</v>
      </c>
      <c r="G385" s="32"/>
      <c r="H385" s="32"/>
      <c r="I385" s="32">
        <v>1</v>
      </c>
    </row>
    <row r="386" spans="1:9" ht="15">
      <c r="A386" s="583" t="s">
        <v>948</v>
      </c>
      <c r="B386" s="584" t="s">
        <v>949</v>
      </c>
      <c r="C386" s="584" t="s">
        <v>872</v>
      </c>
      <c r="D386" s="584" t="s">
        <v>1549</v>
      </c>
      <c r="E386" s="584" t="s">
        <v>100</v>
      </c>
      <c r="F386" s="611">
        <v>0</v>
      </c>
      <c r="G386" s="32"/>
      <c r="H386" s="32"/>
      <c r="I386" s="32"/>
    </row>
    <row r="387" spans="1:9" ht="15">
      <c r="A387" s="583" t="s">
        <v>950</v>
      </c>
      <c r="B387" s="584" t="s">
        <v>951</v>
      </c>
      <c r="C387" s="584" t="s">
        <v>872</v>
      </c>
      <c r="D387" s="584" t="s">
        <v>1549</v>
      </c>
      <c r="E387" s="584" t="s">
        <v>100</v>
      </c>
      <c r="F387" s="611">
        <v>0</v>
      </c>
      <c r="G387" s="32"/>
      <c r="H387" s="32"/>
      <c r="I387" s="32"/>
    </row>
    <row r="388" spans="1:9" ht="15">
      <c r="A388" s="583" t="s">
        <v>952</v>
      </c>
      <c r="B388" s="584" t="s">
        <v>953</v>
      </c>
      <c r="C388" s="584" t="s">
        <v>872</v>
      </c>
      <c r="D388" s="584" t="s">
        <v>1550</v>
      </c>
      <c r="E388" s="584" t="s">
        <v>954</v>
      </c>
      <c r="F388" s="611">
        <v>34000</v>
      </c>
      <c r="G388" s="32"/>
      <c r="H388" s="32"/>
      <c r="I388" s="32"/>
    </row>
    <row r="389" spans="1:9" ht="15">
      <c r="A389" s="583" t="s">
        <v>955</v>
      </c>
      <c r="B389" s="584" t="s">
        <v>956</v>
      </c>
      <c r="C389" s="584" t="s">
        <v>872</v>
      </c>
      <c r="D389" s="584" t="s">
        <v>1548</v>
      </c>
      <c r="E389" s="584" t="s">
        <v>100</v>
      </c>
      <c r="F389" s="611">
        <v>0</v>
      </c>
      <c r="G389" s="32"/>
      <c r="H389" s="32"/>
      <c r="I389" s="32"/>
    </row>
    <row r="390" spans="1:9" ht="15">
      <c r="A390" s="583" t="s">
        <v>957</v>
      </c>
      <c r="B390" s="584" t="s">
        <v>958</v>
      </c>
      <c r="C390" s="584" t="s">
        <v>872</v>
      </c>
      <c r="D390" s="584" t="s">
        <v>1549</v>
      </c>
      <c r="E390" s="584" t="s">
        <v>100</v>
      </c>
      <c r="F390" s="611">
        <v>21169.67</v>
      </c>
      <c r="G390" s="32"/>
      <c r="H390" s="32"/>
      <c r="I390" s="32">
        <v>21</v>
      </c>
    </row>
    <row r="391" spans="1:9" ht="15">
      <c r="A391" s="583" t="s">
        <v>959</v>
      </c>
      <c r="B391" s="584" t="s">
        <v>960</v>
      </c>
      <c r="C391" s="584" t="s">
        <v>872</v>
      </c>
      <c r="D391" s="584" t="s">
        <v>1549</v>
      </c>
      <c r="E391" s="584" t="s">
        <v>100</v>
      </c>
      <c r="F391" s="611">
        <v>636327.25</v>
      </c>
      <c r="G391" s="32"/>
      <c r="H391" s="32"/>
      <c r="I391" s="32">
        <v>636</v>
      </c>
    </row>
    <row r="392" spans="1:9" ht="15">
      <c r="A392" s="583" t="s">
        <v>961</v>
      </c>
      <c r="B392" s="584" t="s">
        <v>962</v>
      </c>
      <c r="C392" s="584" t="s">
        <v>872</v>
      </c>
      <c r="D392" s="584" t="s">
        <v>1549</v>
      </c>
      <c r="E392" s="584" t="s">
        <v>100</v>
      </c>
      <c r="F392" s="611">
        <v>52834</v>
      </c>
      <c r="G392" s="32"/>
      <c r="H392" s="32"/>
      <c r="I392" s="32">
        <v>53</v>
      </c>
    </row>
    <row r="393" spans="1:9" ht="15">
      <c r="A393" s="583" t="s">
        <v>963</v>
      </c>
      <c r="B393" s="584" t="s">
        <v>964</v>
      </c>
      <c r="C393" s="584" t="s">
        <v>872</v>
      </c>
      <c r="D393" s="584" t="s">
        <v>1549</v>
      </c>
      <c r="E393" s="584" t="s">
        <v>100</v>
      </c>
      <c r="F393" s="611">
        <v>0</v>
      </c>
      <c r="G393" s="32"/>
      <c r="H393" s="32"/>
      <c r="I393" s="32"/>
    </row>
    <row r="394" spans="1:9" ht="15">
      <c r="A394" s="583" t="s">
        <v>965</v>
      </c>
      <c r="B394" s="584" t="s">
        <v>966</v>
      </c>
      <c r="C394" s="584" t="s">
        <v>872</v>
      </c>
      <c r="D394" s="584" t="s">
        <v>1550</v>
      </c>
      <c r="E394" s="584" t="s">
        <v>967</v>
      </c>
      <c r="F394" s="611">
        <v>710330.92</v>
      </c>
      <c r="G394" s="32"/>
      <c r="H394" s="32"/>
      <c r="I394" s="32"/>
    </row>
    <row r="395" spans="1:9" ht="15">
      <c r="A395" s="583" t="s">
        <v>968</v>
      </c>
      <c r="B395" s="584" t="s">
        <v>938</v>
      </c>
      <c r="C395" s="584" t="s">
        <v>872</v>
      </c>
      <c r="D395" s="584" t="s">
        <v>1550</v>
      </c>
      <c r="E395" s="584" t="s">
        <v>969</v>
      </c>
      <c r="F395" s="611">
        <v>1612188.89</v>
      </c>
      <c r="G395" s="32"/>
      <c r="H395" s="32"/>
      <c r="I395" s="32"/>
    </row>
    <row r="396" spans="1:9" ht="15">
      <c r="A396" s="583" t="s">
        <v>970</v>
      </c>
      <c r="B396" s="584" t="s">
        <v>971</v>
      </c>
      <c r="C396" s="584" t="s">
        <v>872</v>
      </c>
      <c r="D396" s="584" t="s">
        <v>1548</v>
      </c>
      <c r="E396" s="584" t="s">
        <v>100</v>
      </c>
      <c r="F396" s="611">
        <v>0</v>
      </c>
      <c r="G396" s="32"/>
      <c r="H396" s="32"/>
      <c r="I396" s="32"/>
    </row>
    <row r="397" spans="1:9" ht="15">
      <c r="A397" s="583" t="s">
        <v>972</v>
      </c>
      <c r="B397" s="584" t="s">
        <v>973</v>
      </c>
      <c r="C397" s="584" t="s">
        <v>872</v>
      </c>
      <c r="D397" s="584" t="s">
        <v>1549</v>
      </c>
      <c r="E397" s="584" t="s">
        <v>100</v>
      </c>
      <c r="F397" s="611">
        <v>4249910.28</v>
      </c>
      <c r="G397" s="32"/>
      <c r="H397" s="32"/>
      <c r="I397" s="32">
        <v>4250</v>
      </c>
    </row>
    <row r="398" spans="1:9" ht="15">
      <c r="A398" s="583" t="s">
        <v>974</v>
      </c>
      <c r="B398" s="584" t="s">
        <v>975</v>
      </c>
      <c r="C398" s="584" t="s">
        <v>872</v>
      </c>
      <c r="D398" s="584" t="s">
        <v>1549</v>
      </c>
      <c r="E398" s="584" t="s">
        <v>100</v>
      </c>
      <c r="F398" s="611">
        <v>8819.77</v>
      </c>
      <c r="G398" s="32"/>
      <c r="H398" s="32"/>
      <c r="I398" s="32">
        <v>9</v>
      </c>
    </row>
    <row r="399" spans="1:9" ht="15">
      <c r="A399" s="583" t="s">
        <v>976</v>
      </c>
      <c r="B399" s="584" t="s">
        <v>977</v>
      </c>
      <c r="C399" s="584" t="s">
        <v>872</v>
      </c>
      <c r="D399" s="584" t="s">
        <v>1549</v>
      </c>
      <c r="E399" s="584" t="s">
        <v>100</v>
      </c>
      <c r="F399" s="611">
        <v>8164.15</v>
      </c>
      <c r="G399" s="32"/>
      <c r="H399" s="32"/>
      <c r="I399" s="32">
        <v>8</v>
      </c>
    </row>
    <row r="400" spans="1:9" ht="15">
      <c r="A400" s="583" t="s">
        <v>978</v>
      </c>
      <c r="B400" s="584" t="s">
        <v>979</v>
      </c>
      <c r="C400" s="584" t="s">
        <v>872</v>
      </c>
      <c r="D400" s="584" t="s">
        <v>1549</v>
      </c>
      <c r="E400" s="584" t="s">
        <v>100</v>
      </c>
      <c r="F400" s="611">
        <v>0</v>
      </c>
      <c r="G400" s="32"/>
      <c r="H400" s="32"/>
      <c r="I400" s="32"/>
    </row>
    <row r="401" spans="1:10" ht="15">
      <c r="A401" s="583" t="s">
        <v>980</v>
      </c>
      <c r="B401" s="584" t="s">
        <v>981</v>
      </c>
      <c r="C401" s="584" t="s">
        <v>872</v>
      </c>
      <c r="D401" s="584" t="s">
        <v>1549</v>
      </c>
      <c r="E401" s="584" t="s">
        <v>100</v>
      </c>
      <c r="F401" s="611">
        <v>-8265.66</v>
      </c>
      <c r="G401" s="32"/>
      <c r="H401" s="32"/>
      <c r="I401" s="32">
        <v>-8</v>
      </c>
    </row>
    <row r="402" spans="1:10" ht="15">
      <c r="A402" s="583" t="s">
        <v>982</v>
      </c>
      <c r="B402" s="584" t="s">
        <v>983</v>
      </c>
      <c r="C402" s="584" t="s">
        <v>872</v>
      </c>
      <c r="D402" s="584" t="s">
        <v>1549</v>
      </c>
      <c r="E402" s="584" t="s">
        <v>100</v>
      </c>
      <c r="F402" s="611">
        <v>40396.800000000003</v>
      </c>
      <c r="G402" s="32"/>
      <c r="H402" s="32"/>
      <c r="I402" s="32">
        <v>40</v>
      </c>
    </row>
    <row r="403" spans="1:10" ht="15">
      <c r="A403" s="583" t="s">
        <v>984</v>
      </c>
      <c r="B403" s="584" t="s">
        <v>985</v>
      </c>
      <c r="C403" s="584" t="s">
        <v>872</v>
      </c>
      <c r="D403" s="584" t="s">
        <v>1549</v>
      </c>
      <c r="E403" s="584" t="s">
        <v>100</v>
      </c>
      <c r="F403" s="611">
        <v>2712.41</v>
      </c>
      <c r="G403" s="32"/>
      <c r="H403" s="32"/>
      <c r="I403" s="32">
        <v>3</v>
      </c>
    </row>
    <row r="404" spans="1:10" ht="15">
      <c r="A404" s="583" t="s">
        <v>986</v>
      </c>
      <c r="B404" s="584" t="s">
        <v>987</v>
      </c>
      <c r="C404" s="584" t="s">
        <v>872</v>
      </c>
      <c r="D404" s="584" t="s">
        <v>1549</v>
      </c>
      <c r="E404" s="584" t="s">
        <v>100</v>
      </c>
      <c r="F404" s="611">
        <v>2229</v>
      </c>
      <c r="G404" s="32"/>
      <c r="H404" s="32"/>
      <c r="I404" s="32">
        <v>2</v>
      </c>
    </row>
    <row r="405" spans="1:10" ht="15">
      <c r="A405" s="583" t="s">
        <v>988</v>
      </c>
      <c r="B405" s="584" t="s">
        <v>989</v>
      </c>
      <c r="C405" s="584" t="s">
        <v>872</v>
      </c>
      <c r="D405" s="584" t="s">
        <v>1549</v>
      </c>
      <c r="E405" s="584" t="s">
        <v>100</v>
      </c>
      <c r="F405" s="611">
        <v>948.07</v>
      </c>
      <c r="G405" s="32"/>
      <c r="H405" s="32"/>
      <c r="I405" s="32">
        <v>1</v>
      </c>
    </row>
    <row r="406" spans="1:10" ht="15">
      <c r="A406" s="583" t="s">
        <v>990</v>
      </c>
      <c r="B406" s="584" t="s">
        <v>991</v>
      </c>
      <c r="C406" s="584" t="s">
        <v>872</v>
      </c>
      <c r="D406" s="584" t="s">
        <v>1549</v>
      </c>
      <c r="E406" s="584" t="s">
        <v>100</v>
      </c>
      <c r="F406" s="611">
        <v>4695.18</v>
      </c>
      <c r="G406" s="32"/>
      <c r="H406" s="32"/>
      <c r="I406" s="32">
        <v>5</v>
      </c>
    </row>
    <row r="407" spans="1:10" ht="15">
      <c r="A407" s="583" t="s">
        <v>992</v>
      </c>
      <c r="B407" s="584" t="s">
        <v>993</v>
      </c>
      <c r="C407" s="584" t="s">
        <v>872</v>
      </c>
      <c r="D407" s="584" t="s">
        <v>1549</v>
      </c>
      <c r="E407" s="584" t="s">
        <v>100</v>
      </c>
      <c r="F407" s="611">
        <v>0</v>
      </c>
      <c r="G407" s="32"/>
      <c r="H407" s="32"/>
      <c r="I407" s="32"/>
    </row>
    <row r="408" spans="1:10" ht="15">
      <c r="A408" s="583" t="s">
        <v>994</v>
      </c>
      <c r="B408" s="584" t="s">
        <v>995</v>
      </c>
      <c r="C408" s="584" t="s">
        <v>872</v>
      </c>
      <c r="D408" s="584" t="s">
        <v>1549</v>
      </c>
      <c r="E408" s="584" t="s">
        <v>100</v>
      </c>
      <c r="F408" s="611">
        <v>0</v>
      </c>
      <c r="G408" s="32"/>
      <c r="H408" s="32"/>
      <c r="I408" s="32"/>
    </row>
    <row r="409" spans="1:10" ht="15">
      <c r="A409" s="583" t="s">
        <v>996</v>
      </c>
      <c r="B409" s="584" t="s">
        <v>997</v>
      </c>
      <c r="C409" s="584" t="s">
        <v>872</v>
      </c>
      <c r="D409" s="584" t="s">
        <v>1549</v>
      </c>
      <c r="E409" s="584" t="s">
        <v>100</v>
      </c>
      <c r="F409" s="611">
        <v>989.93</v>
      </c>
      <c r="G409" s="32"/>
      <c r="H409" s="32"/>
      <c r="I409" s="32">
        <v>1</v>
      </c>
    </row>
    <row r="410" spans="1:10" ht="15">
      <c r="A410" s="583" t="s">
        <v>998</v>
      </c>
      <c r="B410" s="584" t="s">
        <v>999</v>
      </c>
      <c r="C410" s="584" t="s">
        <v>872</v>
      </c>
      <c r="D410" s="584" t="s">
        <v>1549</v>
      </c>
      <c r="E410" s="584" t="s">
        <v>100</v>
      </c>
      <c r="F410" s="611">
        <v>21407.919999999998</v>
      </c>
      <c r="G410" s="32"/>
      <c r="H410" s="32"/>
      <c r="I410" s="32">
        <v>21</v>
      </c>
    </row>
    <row r="411" spans="1:10" ht="15">
      <c r="A411" s="583" t="s">
        <v>1000</v>
      </c>
      <c r="B411" s="584" t="s">
        <v>1001</v>
      </c>
      <c r="C411" s="584" t="s">
        <v>872</v>
      </c>
      <c r="D411" s="584" t="s">
        <v>1549</v>
      </c>
      <c r="E411" s="584" t="s">
        <v>100</v>
      </c>
      <c r="F411" s="611">
        <v>3566.98</v>
      </c>
      <c r="G411" s="32"/>
      <c r="H411" s="32"/>
      <c r="I411" s="32">
        <v>4</v>
      </c>
    </row>
    <row r="412" spans="1:10" ht="15">
      <c r="A412" s="583" t="s">
        <v>1002</v>
      </c>
      <c r="B412" s="584" t="s">
        <v>1003</v>
      </c>
      <c r="C412" s="584" t="s">
        <v>872</v>
      </c>
      <c r="D412" s="584" t="s">
        <v>1550</v>
      </c>
      <c r="E412" s="584" t="s">
        <v>1004</v>
      </c>
      <c r="F412" s="611">
        <v>4335574.83</v>
      </c>
      <c r="G412" s="32"/>
      <c r="H412" s="32"/>
      <c r="I412" s="32"/>
    </row>
    <row r="413" spans="1:10" ht="15">
      <c r="A413" s="583" t="s">
        <v>1005</v>
      </c>
      <c r="B413" s="584" t="s">
        <v>1006</v>
      </c>
      <c r="C413" s="584" t="s">
        <v>872</v>
      </c>
      <c r="D413" s="584" t="s">
        <v>1550</v>
      </c>
      <c r="E413" s="584" t="s">
        <v>1007</v>
      </c>
      <c r="F413" s="611">
        <v>69598004.040000007</v>
      </c>
      <c r="G413" s="131">
        <f>SUM(G345:G411)</f>
        <v>1367.5900000000001</v>
      </c>
      <c r="H413" s="131">
        <f>SUM(H345:H411)</f>
        <v>0</v>
      </c>
      <c r="J413" s="131">
        <f>SUM(I345:I411)</f>
        <v>69599</v>
      </c>
    </row>
    <row r="414" spans="1:10" ht="15">
      <c r="A414" s="583" t="s">
        <v>1008</v>
      </c>
      <c r="B414" s="584" t="s">
        <v>1009</v>
      </c>
      <c r="C414" s="584" t="s">
        <v>872</v>
      </c>
      <c r="D414" s="584" t="s">
        <v>1548</v>
      </c>
      <c r="E414" s="584" t="s">
        <v>100</v>
      </c>
      <c r="F414" s="608">
        <v>0</v>
      </c>
      <c r="G414" s="103"/>
      <c r="H414" s="103"/>
      <c r="I414" s="103"/>
    </row>
    <row r="415" spans="1:10" ht="15">
      <c r="A415" s="583" t="s">
        <v>1010</v>
      </c>
      <c r="B415" s="584" t="s">
        <v>1011</v>
      </c>
      <c r="C415" s="584" t="s">
        <v>872</v>
      </c>
      <c r="D415" s="584" t="s">
        <v>1548</v>
      </c>
      <c r="E415" s="584" t="s">
        <v>100</v>
      </c>
      <c r="F415" s="608">
        <v>0</v>
      </c>
      <c r="G415" s="103"/>
      <c r="H415" s="103"/>
      <c r="I415" s="103"/>
    </row>
    <row r="416" spans="1:10" ht="15">
      <c r="A416" s="583" t="s">
        <v>1012</v>
      </c>
      <c r="B416" s="584" t="s">
        <v>1013</v>
      </c>
      <c r="C416" s="584" t="s">
        <v>872</v>
      </c>
      <c r="D416" s="584" t="s">
        <v>1548</v>
      </c>
      <c r="E416" s="584" t="s">
        <v>100</v>
      </c>
      <c r="F416" s="608">
        <v>0</v>
      </c>
      <c r="G416" s="103"/>
      <c r="H416" s="103"/>
      <c r="I416" s="103"/>
    </row>
    <row r="417" spans="1:12" ht="15">
      <c r="A417" s="583" t="s">
        <v>1014</v>
      </c>
      <c r="B417" s="584" t="s">
        <v>1015</v>
      </c>
      <c r="C417" s="584" t="s">
        <v>872</v>
      </c>
      <c r="D417" s="584" t="s">
        <v>1549</v>
      </c>
      <c r="E417" s="584" t="s">
        <v>100</v>
      </c>
      <c r="F417" s="608">
        <v>-22471284.829999998</v>
      </c>
      <c r="G417" s="103"/>
      <c r="H417" s="103"/>
      <c r="I417" s="103">
        <v>-22471</v>
      </c>
    </row>
    <row r="418" spans="1:12" ht="15">
      <c r="A418" s="583" t="s">
        <v>1016</v>
      </c>
      <c r="B418" s="584" t="s">
        <v>106</v>
      </c>
      <c r="C418" s="584" t="s">
        <v>872</v>
      </c>
      <c r="D418" s="584" t="s">
        <v>1584</v>
      </c>
      <c r="E418" s="584" t="s">
        <v>869</v>
      </c>
      <c r="F418" s="608">
        <v>-759277.6</v>
      </c>
      <c r="G418" s="103">
        <f>+G344</f>
        <v>5674.4400000000023</v>
      </c>
      <c r="H418" s="103"/>
      <c r="I418" s="103"/>
      <c r="J418" s="3">
        <f>+J344-2</f>
        <v>-754</v>
      </c>
      <c r="L418" s="3">
        <f>+I417+J418+I419+I420</f>
        <v>-25654</v>
      </c>
    </row>
    <row r="419" spans="1:12" ht="15">
      <c r="A419" s="583" t="s">
        <v>1017</v>
      </c>
      <c r="B419" s="584" t="s">
        <v>1018</v>
      </c>
      <c r="C419" s="584" t="s">
        <v>872</v>
      </c>
      <c r="D419" s="584" t="s">
        <v>1549</v>
      </c>
      <c r="E419" s="584" t="s">
        <v>100</v>
      </c>
      <c r="F419" s="608">
        <v>-3131550</v>
      </c>
      <c r="G419" s="103"/>
      <c r="H419" s="103"/>
      <c r="I419" s="103">
        <v>-3132</v>
      </c>
    </row>
    <row r="420" spans="1:12" ht="15">
      <c r="A420" s="583" t="s">
        <v>1019</v>
      </c>
      <c r="B420" s="584" t="s">
        <v>1020</v>
      </c>
      <c r="C420" s="584" t="s">
        <v>872</v>
      </c>
      <c r="D420" s="584" t="s">
        <v>1549</v>
      </c>
      <c r="E420" s="584" t="s">
        <v>100</v>
      </c>
      <c r="F420" s="608">
        <v>703434.84</v>
      </c>
      <c r="G420" s="103"/>
      <c r="H420" s="103"/>
      <c r="I420" s="103">
        <v>703</v>
      </c>
    </row>
    <row r="421" spans="1:12" ht="15">
      <c r="A421" s="583" t="s">
        <v>1021</v>
      </c>
      <c r="B421" s="584" t="s">
        <v>1022</v>
      </c>
      <c r="C421" s="584" t="s">
        <v>872</v>
      </c>
      <c r="D421" s="584" t="s">
        <v>1549</v>
      </c>
      <c r="E421" s="584" t="s">
        <v>100</v>
      </c>
      <c r="F421" s="608">
        <v>-21279346.149999999</v>
      </c>
      <c r="G421" s="103"/>
      <c r="H421" s="103"/>
      <c r="I421" s="110">
        <v>-21279</v>
      </c>
    </row>
    <row r="422" spans="1:12" ht="15">
      <c r="A422" s="583" t="s">
        <v>1023</v>
      </c>
      <c r="B422" s="584" t="s">
        <v>1024</v>
      </c>
      <c r="C422" s="584" t="s">
        <v>872</v>
      </c>
      <c r="D422" s="584" t="s">
        <v>1549</v>
      </c>
      <c r="E422" s="584" t="s">
        <v>100</v>
      </c>
      <c r="F422" s="608">
        <v>0</v>
      </c>
      <c r="G422" s="103"/>
      <c r="H422" s="103"/>
      <c r="I422" s="103"/>
    </row>
    <row r="423" spans="1:12" ht="15">
      <c r="A423" s="583" t="s">
        <v>1025</v>
      </c>
      <c r="B423" s="584" t="s">
        <v>1026</v>
      </c>
      <c r="C423" s="584" t="s">
        <v>872</v>
      </c>
      <c r="D423" s="584" t="s">
        <v>1550</v>
      </c>
      <c r="E423" s="584" t="s">
        <v>1027</v>
      </c>
      <c r="F423" s="608">
        <v>-46178746.140000001</v>
      </c>
      <c r="G423" s="103"/>
      <c r="H423" s="103"/>
      <c r="I423" s="103"/>
    </row>
    <row r="424" spans="1:12" ht="15">
      <c r="A424" s="583" t="s">
        <v>1028</v>
      </c>
      <c r="B424" s="584" t="s">
        <v>1029</v>
      </c>
      <c r="C424" s="584" t="s">
        <v>872</v>
      </c>
      <c r="D424" s="584" t="s">
        <v>1548</v>
      </c>
      <c r="E424" s="584" t="s">
        <v>100</v>
      </c>
      <c r="F424" s="608">
        <v>0</v>
      </c>
      <c r="G424" s="103"/>
      <c r="H424" s="103"/>
      <c r="I424" s="103"/>
    </row>
    <row r="425" spans="1:12" ht="15">
      <c r="A425" s="583" t="s">
        <v>1030</v>
      </c>
      <c r="B425" s="584" t="s">
        <v>1031</v>
      </c>
      <c r="C425" s="584" t="s">
        <v>872</v>
      </c>
      <c r="D425" s="584" t="s">
        <v>1549</v>
      </c>
      <c r="E425" s="584" t="s">
        <v>100</v>
      </c>
      <c r="F425" s="608">
        <v>-14521176.75</v>
      </c>
      <c r="G425" s="103"/>
      <c r="H425" s="103"/>
      <c r="I425" s="103">
        <v>-14521</v>
      </c>
    </row>
    <row r="426" spans="1:12" ht="15">
      <c r="A426" s="583" t="s">
        <v>1032</v>
      </c>
      <c r="B426" s="584" t="s">
        <v>1033</v>
      </c>
      <c r="C426" s="584" t="s">
        <v>872</v>
      </c>
      <c r="D426" s="584" t="s">
        <v>1549</v>
      </c>
      <c r="E426" s="584" t="s">
        <v>100</v>
      </c>
      <c r="F426" s="608">
        <v>-43560</v>
      </c>
      <c r="G426" s="103"/>
      <c r="H426" s="103"/>
      <c r="I426" s="103">
        <v>-44</v>
      </c>
    </row>
    <row r="427" spans="1:12" ht="15">
      <c r="A427" s="583" t="s">
        <v>1034</v>
      </c>
      <c r="B427" s="584" t="s">
        <v>1035</v>
      </c>
      <c r="C427" s="584" t="s">
        <v>872</v>
      </c>
      <c r="D427" s="584" t="s">
        <v>1549</v>
      </c>
      <c r="E427" s="584" t="s">
        <v>100</v>
      </c>
      <c r="F427" s="608">
        <v>550474</v>
      </c>
      <c r="G427" s="103"/>
      <c r="H427" s="103"/>
      <c r="I427" s="103">
        <v>550</v>
      </c>
    </row>
    <row r="428" spans="1:12" ht="15">
      <c r="A428" s="583" t="s">
        <v>1036</v>
      </c>
      <c r="B428" s="584" t="s">
        <v>1037</v>
      </c>
      <c r="C428" s="584" t="s">
        <v>872</v>
      </c>
      <c r="D428" s="584" t="s">
        <v>1549</v>
      </c>
      <c r="E428" s="584" t="s">
        <v>100</v>
      </c>
      <c r="F428" s="608">
        <v>6798778</v>
      </c>
      <c r="G428" s="103"/>
      <c r="H428" s="103"/>
      <c r="I428" s="103">
        <v>6799</v>
      </c>
    </row>
    <row r="429" spans="1:12" ht="15">
      <c r="A429" s="583" t="s">
        <v>1038</v>
      </c>
      <c r="B429" s="584" t="s">
        <v>440</v>
      </c>
      <c r="C429" s="584" t="s">
        <v>872</v>
      </c>
      <c r="D429" s="584" t="s">
        <v>1549</v>
      </c>
      <c r="E429" s="584" t="s">
        <v>100</v>
      </c>
      <c r="F429" s="608">
        <v>19625</v>
      </c>
      <c r="G429" s="103"/>
      <c r="H429" s="103"/>
      <c r="I429" s="103">
        <v>20</v>
      </c>
    </row>
    <row r="430" spans="1:12" ht="15">
      <c r="A430" s="583" t="s">
        <v>1614</v>
      </c>
      <c r="B430" s="584" t="s">
        <v>1615</v>
      </c>
      <c r="C430" s="584" t="s">
        <v>872</v>
      </c>
      <c r="D430" s="584" t="s">
        <v>1549</v>
      </c>
      <c r="E430" s="584" t="s">
        <v>100</v>
      </c>
      <c r="F430" s="608">
        <v>182102</v>
      </c>
      <c r="G430" s="103"/>
      <c r="H430" s="103"/>
      <c r="I430" s="103">
        <v>182</v>
      </c>
    </row>
    <row r="431" spans="1:12" ht="15">
      <c r="A431" s="583" t="s">
        <v>1039</v>
      </c>
      <c r="B431" s="584" t="s">
        <v>1040</v>
      </c>
      <c r="C431" s="584" t="s">
        <v>872</v>
      </c>
      <c r="D431" s="584" t="s">
        <v>1550</v>
      </c>
      <c r="E431" s="584" t="s">
        <v>1041</v>
      </c>
      <c r="F431" s="608">
        <v>-7013757.75</v>
      </c>
      <c r="G431" s="103"/>
      <c r="H431" s="103"/>
      <c r="I431" s="103"/>
    </row>
    <row r="432" spans="1:12" ht="15">
      <c r="A432" s="583" t="s">
        <v>1042</v>
      </c>
      <c r="B432" s="584" t="s">
        <v>1043</v>
      </c>
      <c r="C432" s="584" t="s">
        <v>872</v>
      </c>
      <c r="D432" s="584" t="s">
        <v>1548</v>
      </c>
      <c r="E432" s="584" t="s">
        <v>100</v>
      </c>
      <c r="F432" s="608">
        <v>0</v>
      </c>
      <c r="G432" s="103"/>
      <c r="H432" s="103"/>
      <c r="I432" s="103"/>
    </row>
    <row r="433" spans="1:9" ht="15">
      <c r="A433" s="583" t="s">
        <v>1044</v>
      </c>
      <c r="B433" s="584" t="s">
        <v>1045</v>
      </c>
      <c r="C433" s="584" t="s">
        <v>872</v>
      </c>
      <c r="D433" s="584" t="s">
        <v>1549</v>
      </c>
      <c r="E433" s="584" t="s">
        <v>100</v>
      </c>
      <c r="F433" s="608">
        <v>0</v>
      </c>
      <c r="G433" s="103"/>
      <c r="H433" s="103"/>
      <c r="I433" s="103"/>
    </row>
    <row r="434" spans="1:9" ht="15">
      <c r="A434" s="583" t="s">
        <v>1046</v>
      </c>
      <c r="B434" s="584" t="s">
        <v>1047</v>
      </c>
      <c r="C434" s="584" t="s">
        <v>872</v>
      </c>
      <c r="D434" s="584" t="s">
        <v>1549</v>
      </c>
      <c r="E434" s="584" t="s">
        <v>100</v>
      </c>
      <c r="F434" s="608">
        <v>0</v>
      </c>
      <c r="G434" s="103"/>
      <c r="H434" s="103"/>
      <c r="I434" s="103"/>
    </row>
    <row r="435" spans="1:9" ht="15">
      <c r="A435" s="583" t="s">
        <v>1048</v>
      </c>
      <c r="B435" s="584" t="s">
        <v>1049</v>
      </c>
      <c r="C435" s="584" t="s">
        <v>872</v>
      </c>
      <c r="D435" s="584" t="s">
        <v>1549</v>
      </c>
      <c r="E435" s="584" t="s">
        <v>100</v>
      </c>
      <c r="F435" s="608">
        <v>0</v>
      </c>
      <c r="G435" s="103"/>
      <c r="H435" s="103"/>
      <c r="I435" s="103"/>
    </row>
    <row r="436" spans="1:9" ht="15">
      <c r="A436" s="583" t="s">
        <v>1050</v>
      </c>
      <c r="B436" s="584" t="s">
        <v>1051</v>
      </c>
      <c r="C436" s="584" t="s">
        <v>872</v>
      </c>
      <c r="D436" s="584" t="s">
        <v>1549</v>
      </c>
      <c r="E436" s="584" t="s">
        <v>100</v>
      </c>
      <c r="F436" s="608">
        <v>0</v>
      </c>
      <c r="G436" s="103"/>
      <c r="H436" s="103"/>
      <c r="I436" s="103"/>
    </row>
    <row r="437" spans="1:9" ht="15">
      <c r="A437" s="583" t="s">
        <v>1052</v>
      </c>
      <c r="B437" s="584" t="s">
        <v>2028</v>
      </c>
      <c r="C437" s="584" t="s">
        <v>872</v>
      </c>
      <c r="D437" s="584" t="s">
        <v>1549</v>
      </c>
      <c r="E437" s="584" t="s">
        <v>100</v>
      </c>
      <c r="F437" s="608">
        <v>-5875</v>
      </c>
      <c r="G437" s="103"/>
      <c r="H437" s="103"/>
      <c r="I437" s="103">
        <v>-6</v>
      </c>
    </row>
    <row r="438" spans="1:9" ht="15">
      <c r="A438" s="583" t="s">
        <v>1054</v>
      </c>
      <c r="B438" s="584" t="s">
        <v>103</v>
      </c>
      <c r="C438" s="584" t="s">
        <v>872</v>
      </c>
      <c r="D438" s="584" t="s">
        <v>1549</v>
      </c>
      <c r="E438" s="584" t="s">
        <v>100</v>
      </c>
      <c r="F438" s="608">
        <v>-5581091.3600000003</v>
      </c>
      <c r="G438" s="103"/>
      <c r="H438" s="103"/>
      <c r="I438" s="103">
        <v>-5581</v>
      </c>
    </row>
    <row r="439" spans="1:9" ht="15">
      <c r="A439" s="583" t="s">
        <v>1056</v>
      </c>
      <c r="B439" s="584" t="s">
        <v>1057</v>
      </c>
      <c r="C439" s="584" t="s">
        <v>872</v>
      </c>
      <c r="D439" s="584" t="s">
        <v>1548</v>
      </c>
      <c r="E439" s="584" t="s">
        <v>100</v>
      </c>
      <c r="F439" s="608">
        <v>0</v>
      </c>
      <c r="G439" s="103"/>
      <c r="H439" s="103"/>
      <c r="I439" s="103"/>
    </row>
    <row r="440" spans="1:9" ht="15">
      <c r="A440" s="583" t="s">
        <v>1058</v>
      </c>
      <c r="B440" s="584" t="s">
        <v>1031</v>
      </c>
      <c r="C440" s="584" t="s">
        <v>872</v>
      </c>
      <c r="D440" s="584" t="s">
        <v>1549</v>
      </c>
      <c r="E440" s="584" t="s">
        <v>100</v>
      </c>
      <c r="F440" s="608">
        <v>-542200.19999999995</v>
      </c>
      <c r="G440" s="103"/>
      <c r="H440" s="103"/>
      <c r="I440" s="103">
        <v>-542</v>
      </c>
    </row>
    <row r="441" spans="1:9" ht="15">
      <c r="A441" s="583" t="s">
        <v>1059</v>
      </c>
      <c r="B441" s="584" t="s">
        <v>1060</v>
      </c>
      <c r="C441" s="584" t="s">
        <v>872</v>
      </c>
      <c r="D441" s="584" t="s">
        <v>1549</v>
      </c>
      <c r="E441" s="584" t="s">
        <v>100</v>
      </c>
      <c r="F441" s="608">
        <v>0</v>
      </c>
      <c r="G441" s="103"/>
      <c r="H441" s="103"/>
      <c r="I441" s="103"/>
    </row>
    <row r="442" spans="1:9" ht="15">
      <c r="A442" s="583" t="s">
        <v>1061</v>
      </c>
      <c r="B442" s="584" t="s">
        <v>1062</v>
      </c>
      <c r="C442" s="584" t="s">
        <v>872</v>
      </c>
      <c r="D442" s="584" t="s">
        <v>1549</v>
      </c>
      <c r="E442" s="584" t="s">
        <v>100</v>
      </c>
      <c r="F442" s="608">
        <v>2040.9</v>
      </c>
      <c r="G442" s="103"/>
      <c r="H442" s="103"/>
      <c r="I442" s="103">
        <v>2</v>
      </c>
    </row>
    <row r="443" spans="1:9" ht="15">
      <c r="A443" s="583" t="s">
        <v>1063</v>
      </c>
      <c r="B443" s="584" t="s">
        <v>1064</v>
      </c>
      <c r="C443" s="584" t="s">
        <v>872</v>
      </c>
      <c r="D443" s="584" t="s">
        <v>1550</v>
      </c>
      <c r="E443" s="584" t="s">
        <v>1065</v>
      </c>
      <c r="F443" s="608">
        <v>-540159.30000000005</v>
      </c>
      <c r="G443" s="103"/>
      <c r="H443" s="103"/>
      <c r="I443" s="103"/>
    </row>
    <row r="444" spans="1:9" ht="15">
      <c r="A444" s="583" t="s">
        <v>1066</v>
      </c>
      <c r="B444" s="584" t="s">
        <v>1067</v>
      </c>
      <c r="C444" s="584" t="s">
        <v>872</v>
      </c>
      <c r="D444" s="584" t="s">
        <v>1550</v>
      </c>
      <c r="E444" s="584" t="s">
        <v>1068</v>
      </c>
      <c r="F444" s="608">
        <v>-6127125.6600000001</v>
      </c>
      <c r="G444" s="103"/>
      <c r="H444" s="103"/>
      <c r="I444" s="103"/>
    </row>
    <row r="445" spans="1:9" ht="15">
      <c r="A445" s="583" t="s">
        <v>1069</v>
      </c>
      <c r="B445" s="584" t="s">
        <v>1070</v>
      </c>
      <c r="C445" s="584" t="s">
        <v>872</v>
      </c>
      <c r="D445" s="584" t="s">
        <v>1550</v>
      </c>
      <c r="E445" s="584" t="s">
        <v>1071</v>
      </c>
      <c r="F445" s="608">
        <v>-59319629.549999997</v>
      </c>
      <c r="G445" s="103"/>
      <c r="H445" s="103"/>
      <c r="I445" s="103"/>
    </row>
    <row r="446" spans="1:9" ht="15">
      <c r="A446" s="583" t="s">
        <v>1072</v>
      </c>
      <c r="B446" s="584" t="s">
        <v>1073</v>
      </c>
      <c r="C446" s="584" t="s">
        <v>872</v>
      </c>
      <c r="D446" s="584" t="s">
        <v>1548</v>
      </c>
      <c r="E446" s="584" t="s">
        <v>100</v>
      </c>
      <c r="F446" s="608">
        <v>0</v>
      </c>
      <c r="G446" s="103"/>
      <c r="H446" s="103"/>
      <c r="I446" s="103"/>
    </row>
    <row r="447" spans="1:9" ht="15">
      <c r="A447" s="583" t="s">
        <v>1074</v>
      </c>
      <c r="B447" s="584" t="s">
        <v>1075</v>
      </c>
      <c r="C447" s="584" t="s">
        <v>872</v>
      </c>
      <c r="D447" s="584" t="s">
        <v>1549</v>
      </c>
      <c r="E447" s="584" t="s">
        <v>100</v>
      </c>
      <c r="F447" s="608">
        <v>0</v>
      </c>
      <c r="G447" s="103"/>
      <c r="H447" s="103"/>
      <c r="I447" s="103"/>
    </row>
    <row r="448" spans="1:9" ht="15">
      <c r="A448" s="583" t="s">
        <v>1076</v>
      </c>
      <c r="B448" s="584" t="s">
        <v>1077</v>
      </c>
      <c r="C448" s="584" t="s">
        <v>872</v>
      </c>
      <c r="D448" s="584" t="s">
        <v>1549</v>
      </c>
      <c r="E448" s="584" t="s">
        <v>100</v>
      </c>
      <c r="F448" s="608">
        <v>0</v>
      </c>
      <c r="G448" s="103"/>
      <c r="H448" s="103"/>
      <c r="I448" s="103"/>
    </row>
    <row r="449" spans="1:9" ht="15">
      <c r="A449" s="583" t="s">
        <v>1078</v>
      </c>
      <c r="B449" s="584" t="s">
        <v>1079</v>
      </c>
      <c r="C449" s="584" t="s">
        <v>872</v>
      </c>
      <c r="D449" s="584" t="s">
        <v>1549</v>
      </c>
      <c r="E449" s="584" t="s">
        <v>100</v>
      </c>
      <c r="F449" s="608">
        <v>-7200398.6900000004</v>
      </c>
      <c r="G449" s="103"/>
      <c r="H449" s="103"/>
      <c r="I449" s="103">
        <v>-7200</v>
      </c>
    </row>
    <row r="450" spans="1:9" ht="15">
      <c r="A450" s="583" t="s">
        <v>1080</v>
      </c>
      <c r="B450" s="584" t="s">
        <v>1081</v>
      </c>
      <c r="C450" s="584" t="s">
        <v>872</v>
      </c>
      <c r="D450" s="584" t="s">
        <v>1550</v>
      </c>
      <c r="E450" s="584" t="s">
        <v>1082</v>
      </c>
      <c r="F450" s="608">
        <v>-7200398.6900000004</v>
      </c>
      <c r="G450" s="103"/>
      <c r="H450" s="103"/>
      <c r="I450" s="103"/>
    </row>
    <row r="451" spans="1:9" ht="15">
      <c r="A451" s="583" t="s">
        <v>1083</v>
      </c>
      <c r="B451" s="584" t="s">
        <v>1084</v>
      </c>
      <c r="C451" s="584" t="s">
        <v>872</v>
      </c>
      <c r="D451" s="584" t="s">
        <v>1548</v>
      </c>
      <c r="E451" s="584" t="s">
        <v>100</v>
      </c>
      <c r="F451" s="608">
        <v>0</v>
      </c>
      <c r="G451" s="103"/>
      <c r="H451" s="103"/>
      <c r="I451" s="103"/>
    </row>
    <row r="452" spans="1:9" ht="15">
      <c r="A452" s="583" t="s">
        <v>1085</v>
      </c>
      <c r="B452" s="584" t="s">
        <v>1086</v>
      </c>
      <c r="C452" s="584" t="s">
        <v>872</v>
      </c>
      <c r="D452" s="584" t="s">
        <v>1548</v>
      </c>
      <c r="E452" s="584" t="s">
        <v>100</v>
      </c>
      <c r="F452" s="608">
        <v>0</v>
      </c>
      <c r="G452" s="103"/>
      <c r="H452" s="103"/>
      <c r="I452" s="103"/>
    </row>
    <row r="453" spans="1:9" ht="15">
      <c r="A453" s="583" t="s">
        <v>1087</v>
      </c>
      <c r="B453" s="584" t="s">
        <v>1088</v>
      </c>
      <c r="C453" s="584" t="s">
        <v>872</v>
      </c>
      <c r="D453" s="584" t="s">
        <v>1549</v>
      </c>
      <c r="E453" s="584" t="s">
        <v>100</v>
      </c>
      <c r="F453" s="608">
        <v>-582791.57999999996</v>
      </c>
      <c r="G453" s="103"/>
      <c r="H453" s="103"/>
      <c r="I453" s="103">
        <v>-583</v>
      </c>
    </row>
    <row r="454" spans="1:9" ht="15">
      <c r="A454" s="583" t="s">
        <v>1089</v>
      </c>
      <c r="B454" s="584" t="s">
        <v>1090</v>
      </c>
      <c r="C454" s="584" t="s">
        <v>872</v>
      </c>
      <c r="D454" s="584" t="s">
        <v>1550</v>
      </c>
      <c r="E454" s="584" t="s">
        <v>1091</v>
      </c>
      <c r="F454" s="608">
        <v>-582791.57999999996</v>
      </c>
      <c r="G454" s="103"/>
      <c r="H454" s="103"/>
      <c r="I454" s="103"/>
    </row>
    <row r="455" spans="1:9" ht="15">
      <c r="A455" s="583" t="s">
        <v>1092</v>
      </c>
      <c r="B455" s="584" t="s">
        <v>1093</v>
      </c>
      <c r="C455" s="584" t="s">
        <v>872</v>
      </c>
      <c r="D455" s="584" t="s">
        <v>1548</v>
      </c>
      <c r="E455" s="584" t="s">
        <v>100</v>
      </c>
      <c r="F455" s="608">
        <v>0</v>
      </c>
      <c r="G455" s="103"/>
      <c r="H455" s="103"/>
      <c r="I455" s="103"/>
    </row>
    <row r="456" spans="1:9" ht="15">
      <c r="A456" s="583" t="s">
        <v>1094</v>
      </c>
      <c r="B456" s="584" t="s">
        <v>1095</v>
      </c>
      <c r="C456" s="584" t="s">
        <v>872</v>
      </c>
      <c r="D456" s="584" t="s">
        <v>1548</v>
      </c>
      <c r="E456" s="584" t="s">
        <v>100</v>
      </c>
      <c r="F456" s="608">
        <v>0</v>
      </c>
      <c r="G456" s="103"/>
      <c r="H456" s="103"/>
      <c r="I456" s="103"/>
    </row>
    <row r="457" spans="1:9" ht="15">
      <c r="A457" s="583" t="s">
        <v>1096</v>
      </c>
      <c r="B457" s="584" t="s">
        <v>1097</v>
      </c>
      <c r="C457" s="584" t="s">
        <v>872</v>
      </c>
      <c r="D457" s="584" t="s">
        <v>1549</v>
      </c>
      <c r="E457" s="584" t="s">
        <v>100</v>
      </c>
      <c r="F457" s="608">
        <v>0</v>
      </c>
      <c r="G457" s="103"/>
      <c r="H457" s="103"/>
      <c r="I457" s="103"/>
    </row>
    <row r="458" spans="1:9" ht="15">
      <c r="A458" s="583" t="s">
        <v>1098</v>
      </c>
      <c r="B458" s="584" t="s">
        <v>1099</v>
      </c>
      <c r="C458" s="584" t="s">
        <v>872</v>
      </c>
      <c r="D458" s="584" t="s">
        <v>1549</v>
      </c>
      <c r="E458" s="584" t="s">
        <v>100</v>
      </c>
      <c r="F458" s="608">
        <v>0</v>
      </c>
      <c r="G458" s="103"/>
      <c r="H458" s="103"/>
      <c r="I458" s="103"/>
    </row>
    <row r="459" spans="1:9" ht="15">
      <c r="A459" s="583" t="s">
        <v>1100</v>
      </c>
      <c r="B459" s="584" t="s">
        <v>1101</v>
      </c>
      <c r="C459" s="584" t="s">
        <v>872</v>
      </c>
      <c r="D459" s="584" t="s">
        <v>1550</v>
      </c>
      <c r="E459" s="584" t="s">
        <v>1102</v>
      </c>
      <c r="F459" s="608">
        <v>0</v>
      </c>
      <c r="G459" s="103"/>
      <c r="H459" s="103"/>
      <c r="I459" s="103"/>
    </row>
    <row r="460" spans="1:9" ht="15">
      <c r="A460" s="583" t="s">
        <v>1103</v>
      </c>
      <c r="B460" s="584" t="s">
        <v>1104</v>
      </c>
      <c r="C460" s="584" t="s">
        <v>872</v>
      </c>
      <c r="D460" s="584" t="s">
        <v>1548</v>
      </c>
      <c r="E460" s="584" t="s">
        <v>100</v>
      </c>
      <c r="F460" s="608">
        <v>0</v>
      </c>
      <c r="G460" s="103"/>
      <c r="H460" s="103"/>
      <c r="I460" s="103"/>
    </row>
    <row r="461" spans="1:9" ht="15">
      <c r="A461" s="583" t="s">
        <v>1105</v>
      </c>
      <c r="B461" s="584" t="s">
        <v>155</v>
      </c>
      <c r="C461" s="584" t="s">
        <v>872</v>
      </c>
      <c r="D461" s="584" t="s">
        <v>1548</v>
      </c>
      <c r="E461" s="584" t="s">
        <v>100</v>
      </c>
      <c r="F461" s="608">
        <v>0</v>
      </c>
      <c r="G461" s="103"/>
      <c r="H461" s="103"/>
      <c r="I461" s="103"/>
    </row>
    <row r="462" spans="1:9" ht="15">
      <c r="A462" s="583" t="s">
        <v>1106</v>
      </c>
      <c r="B462" s="584" t="s">
        <v>1107</v>
      </c>
      <c r="C462" s="584" t="s">
        <v>872</v>
      </c>
      <c r="D462" s="584" t="s">
        <v>1549</v>
      </c>
      <c r="E462" s="584" t="s">
        <v>100</v>
      </c>
      <c r="F462" s="608">
        <v>-214684.37</v>
      </c>
      <c r="G462" s="103"/>
      <c r="H462" s="103"/>
      <c r="I462" s="103">
        <v>-215</v>
      </c>
    </row>
    <row r="463" spans="1:9" ht="15">
      <c r="A463" s="583" t="s">
        <v>1108</v>
      </c>
      <c r="B463" s="584" t="s">
        <v>440</v>
      </c>
      <c r="C463" s="584" t="s">
        <v>872</v>
      </c>
      <c r="D463" s="584" t="s">
        <v>1549</v>
      </c>
      <c r="E463" s="584" t="s">
        <v>100</v>
      </c>
      <c r="F463" s="608">
        <v>0</v>
      </c>
      <c r="G463" s="103"/>
      <c r="H463" s="103"/>
      <c r="I463" s="103"/>
    </row>
    <row r="464" spans="1:9" ht="15">
      <c r="A464" s="583" t="s">
        <v>1109</v>
      </c>
      <c r="B464" s="584" t="s">
        <v>1110</v>
      </c>
      <c r="C464" s="584" t="s">
        <v>872</v>
      </c>
      <c r="D464" s="584" t="s">
        <v>1549</v>
      </c>
      <c r="E464" s="584" t="s">
        <v>100</v>
      </c>
      <c r="F464" s="608">
        <v>0</v>
      </c>
      <c r="G464" s="103"/>
      <c r="H464" s="103"/>
      <c r="I464" s="103"/>
    </row>
    <row r="465" spans="1:9" ht="15">
      <c r="A465" s="583" t="s">
        <v>1111</v>
      </c>
      <c r="B465" s="584" t="s">
        <v>481</v>
      </c>
      <c r="C465" s="584" t="s">
        <v>872</v>
      </c>
      <c r="D465" s="584" t="s">
        <v>1549</v>
      </c>
      <c r="E465" s="584" t="s">
        <v>100</v>
      </c>
      <c r="F465" s="608">
        <v>137615</v>
      </c>
      <c r="G465" s="103"/>
      <c r="H465" s="103"/>
      <c r="I465" s="103">
        <v>138</v>
      </c>
    </row>
    <row r="466" spans="1:9" ht="15">
      <c r="A466" s="583" t="s">
        <v>1112</v>
      </c>
      <c r="B466" s="584" t="s">
        <v>278</v>
      </c>
      <c r="C466" s="584" t="s">
        <v>872</v>
      </c>
      <c r="D466" s="584" t="s">
        <v>1550</v>
      </c>
      <c r="E466" s="584" t="s">
        <v>1113</v>
      </c>
      <c r="F466" s="608">
        <v>-77069.37</v>
      </c>
      <c r="G466" s="103"/>
      <c r="H466" s="103"/>
      <c r="I466" s="103"/>
    </row>
    <row r="467" spans="1:9" ht="15">
      <c r="A467" s="583" t="s">
        <v>1114</v>
      </c>
      <c r="B467" s="584" t="s">
        <v>1115</v>
      </c>
      <c r="C467" s="584" t="s">
        <v>872</v>
      </c>
      <c r="D467" s="584" t="s">
        <v>1548</v>
      </c>
      <c r="E467" s="584" t="s">
        <v>100</v>
      </c>
      <c r="F467" s="608">
        <v>0</v>
      </c>
      <c r="G467" s="103"/>
      <c r="H467" s="103"/>
      <c r="I467" s="103"/>
    </row>
    <row r="468" spans="1:9" ht="15">
      <c r="A468" s="583" t="s">
        <v>1116</v>
      </c>
      <c r="B468" s="584" t="s">
        <v>220</v>
      </c>
      <c r="C468" s="584" t="s">
        <v>872</v>
      </c>
      <c r="D468" s="584" t="s">
        <v>1549</v>
      </c>
      <c r="E468" s="584" t="s">
        <v>100</v>
      </c>
      <c r="F468" s="608">
        <v>0</v>
      </c>
      <c r="G468" s="103"/>
      <c r="H468" s="103"/>
      <c r="I468" s="103"/>
    </row>
    <row r="469" spans="1:9" ht="15">
      <c r="A469" s="583" t="s">
        <v>1117</v>
      </c>
      <c r="B469" s="584" t="s">
        <v>1118</v>
      </c>
      <c r="C469" s="584" t="s">
        <v>872</v>
      </c>
      <c r="D469" s="584" t="s">
        <v>1549</v>
      </c>
      <c r="E469" s="584" t="s">
        <v>100</v>
      </c>
      <c r="F469" s="608">
        <v>0</v>
      </c>
      <c r="G469" s="103"/>
      <c r="H469" s="103"/>
      <c r="I469" s="103"/>
    </row>
    <row r="470" spans="1:9" ht="15">
      <c r="A470" s="583" t="s">
        <v>1119</v>
      </c>
      <c r="B470" s="584" t="s">
        <v>1120</v>
      </c>
      <c r="C470" s="584" t="s">
        <v>872</v>
      </c>
      <c r="D470" s="584" t="s">
        <v>1549</v>
      </c>
      <c r="E470" s="584" t="s">
        <v>100</v>
      </c>
      <c r="F470" s="608">
        <v>0</v>
      </c>
      <c r="G470" s="103"/>
      <c r="H470" s="103"/>
      <c r="I470" s="103"/>
    </row>
    <row r="471" spans="1:9" ht="15">
      <c r="A471" s="583" t="s">
        <v>1121</v>
      </c>
      <c r="B471" s="584" t="s">
        <v>1122</v>
      </c>
      <c r="C471" s="584" t="s">
        <v>872</v>
      </c>
      <c r="D471" s="584" t="s">
        <v>1549</v>
      </c>
      <c r="E471" s="584" t="s">
        <v>100</v>
      </c>
      <c r="F471" s="608">
        <v>0</v>
      </c>
      <c r="G471" s="103"/>
      <c r="H471" s="103"/>
      <c r="I471" s="103"/>
    </row>
    <row r="472" spans="1:9" ht="15">
      <c r="A472" s="583" t="s">
        <v>1123</v>
      </c>
      <c r="B472" s="584" t="s">
        <v>1124</v>
      </c>
      <c r="C472" s="584" t="s">
        <v>872</v>
      </c>
      <c r="D472" s="584" t="s">
        <v>1549</v>
      </c>
      <c r="E472" s="584" t="s">
        <v>100</v>
      </c>
      <c r="F472" s="608">
        <v>0</v>
      </c>
      <c r="G472" s="103"/>
      <c r="H472" s="103"/>
      <c r="I472" s="103"/>
    </row>
    <row r="473" spans="1:9" ht="15">
      <c r="A473" s="583" t="s">
        <v>1125</v>
      </c>
      <c r="B473" s="584" t="s">
        <v>1126</v>
      </c>
      <c r="C473" s="584" t="s">
        <v>872</v>
      </c>
      <c r="D473" s="584" t="s">
        <v>1549</v>
      </c>
      <c r="E473" s="584" t="s">
        <v>100</v>
      </c>
      <c r="F473" s="608">
        <v>0</v>
      </c>
      <c r="G473" s="103"/>
      <c r="H473" s="103"/>
      <c r="I473" s="103"/>
    </row>
    <row r="474" spans="1:9" ht="15">
      <c r="A474" s="583" t="s">
        <v>1127</v>
      </c>
      <c r="B474" s="584" t="s">
        <v>1128</v>
      </c>
      <c r="C474" s="584" t="s">
        <v>872</v>
      </c>
      <c r="D474" s="584" t="s">
        <v>1549</v>
      </c>
      <c r="E474" s="584" t="s">
        <v>100</v>
      </c>
      <c r="F474" s="608">
        <v>0</v>
      </c>
      <c r="G474" s="103"/>
      <c r="H474" s="103"/>
      <c r="I474" s="103"/>
    </row>
    <row r="475" spans="1:9" ht="15">
      <c r="A475" s="583" t="s">
        <v>1129</v>
      </c>
      <c r="B475" s="584" t="s">
        <v>1130</v>
      </c>
      <c r="C475" s="584" t="s">
        <v>872</v>
      </c>
      <c r="D475" s="584" t="s">
        <v>1549</v>
      </c>
      <c r="E475" s="584" t="s">
        <v>100</v>
      </c>
      <c r="F475" s="608">
        <v>0</v>
      </c>
      <c r="G475" s="103"/>
      <c r="H475" s="103"/>
      <c r="I475" s="103"/>
    </row>
    <row r="476" spans="1:9" ht="15">
      <c r="A476" s="583" t="s">
        <v>1131</v>
      </c>
      <c r="B476" s="584" t="s">
        <v>1132</v>
      </c>
      <c r="C476" s="584" t="s">
        <v>872</v>
      </c>
      <c r="D476" s="584" t="s">
        <v>1549</v>
      </c>
      <c r="E476" s="584" t="s">
        <v>100</v>
      </c>
      <c r="F476" s="608">
        <v>0</v>
      </c>
      <c r="G476" s="103"/>
      <c r="H476" s="103"/>
      <c r="I476" s="103"/>
    </row>
    <row r="477" spans="1:9" ht="15">
      <c r="A477" s="583" t="s">
        <v>1133</v>
      </c>
      <c r="B477" s="584" t="s">
        <v>1134</v>
      </c>
      <c r="C477" s="584" t="s">
        <v>872</v>
      </c>
      <c r="D477" s="584" t="s">
        <v>1549</v>
      </c>
      <c r="E477" s="584" t="s">
        <v>100</v>
      </c>
      <c r="F477" s="608">
        <v>0</v>
      </c>
      <c r="G477" s="103"/>
      <c r="H477" s="103"/>
      <c r="I477" s="103"/>
    </row>
    <row r="478" spans="1:9" ht="15">
      <c r="A478" s="583" t="s">
        <v>1135</v>
      </c>
      <c r="B478" s="584" t="s">
        <v>1136</v>
      </c>
      <c r="C478" s="584" t="s">
        <v>872</v>
      </c>
      <c r="D478" s="584" t="s">
        <v>1549</v>
      </c>
      <c r="E478" s="584" t="s">
        <v>100</v>
      </c>
      <c r="F478" s="608">
        <v>0</v>
      </c>
      <c r="G478" s="103"/>
      <c r="H478" s="103"/>
      <c r="I478" s="103"/>
    </row>
    <row r="479" spans="1:9" ht="15">
      <c r="A479" s="583" t="s">
        <v>1137</v>
      </c>
      <c r="B479" s="584" t="s">
        <v>1138</v>
      </c>
      <c r="C479" s="584" t="s">
        <v>872</v>
      </c>
      <c r="D479" s="584" t="s">
        <v>1549</v>
      </c>
      <c r="E479" s="584" t="s">
        <v>100</v>
      </c>
      <c r="F479" s="608">
        <v>0</v>
      </c>
      <c r="G479" s="103"/>
      <c r="H479" s="103"/>
      <c r="I479" s="103"/>
    </row>
    <row r="480" spans="1:9" ht="15">
      <c r="A480" s="583" t="s">
        <v>1139</v>
      </c>
      <c r="B480" s="584" t="s">
        <v>1140</v>
      </c>
      <c r="C480" s="584" t="s">
        <v>872</v>
      </c>
      <c r="D480" s="584" t="s">
        <v>1549</v>
      </c>
      <c r="E480" s="584" t="s">
        <v>100</v>
      </c>
      <c r="F480" s="608">
        <v>0</v>
      </c>
      <c r="G480" s="103"/>
      <c r="H480" s="103"/>
      <c r="I480" s="103"/>
    </row>
    <row r="481" spans="1:9" ht="15">
      <c r="A481" s="583" t="s">
        <v>1141</v>
      </c>
      <c r="B481" s="584" t="s">
        <v>1142</v>
      </c>
      <c r="C481" s="584" t="s">
        <v>872</v>
      </c>
      <c r="D481" s="584" t="s">
        <v>1549</v>
      </c>
      <c r="E481" s="584" t="s">
        <v>100</v>
      </c>
      <c r="F481" s="608">
        <v>0</v>
      </c>
      <c r="G481" s="103"/>
      <c r="H481" s="103"/>
      <c r="I481" s="103"/>
    </row>
    <row r="482" spans="1:9" ht="15">
      <c r="A482" s="583" t="s">
        <v>1143</v>
      </c>
      <c r="B482" s="584" t="s">
        <v>1144</v>
      </c>
      <c r="C482" s="584" t="s">
        <v>872</v>
      </c>
      <c r="D482" s="584" t="s">
        <v>1549</v>
      </c>
      <c r="E482" s="584" t="s">
        <v>100</v>
      </c>
      <c r="F482" s="608">
        <v>0</v>
      </c>
      <c r="G482" s="103"/>
      <c r="H482" s="103"/>
      <c r="I482" s="103"/>
    </row>
    <row r="483" spans="1:9" ht="15">
      <c r="A483" s="583" t="s">
        <v>1145</v>
      </c>
      <c r="B483" s="584" t="s">
        <v>1146</v>
      </c>
      <c r="C483" s="584" t="s">
        <v>872</v>
      </c>
      <c r="D483" s="584" t="s">
        <v>1549</v>
      </c>
      <c r="E483" s="584" t="s">
        <v>100</v>
      </c>
      <c r="F483" s="608">
        <v>0</v>
      </c>
      <c r="G483" s="103"/>
      <c r="H483" s="103"/>
      <c r="I483" s="103"/>
    </row>
    <row r="484" spans="1:9" ht="15">
      <c r="A484" s="583" t="s">
        <v>1147</v>
      </c>
      <c r="B484" s="584" t="s">
        <v>1148</v>
      </c>
      <c r="C484" s="584" t="s">
        <v>872</v>
      </c>
      <c r="D484" s="584" t="s">
        <v>1549</v>
      </c>
      <c r="E484" s="584" t="s">
        <v>100</v>
      </c>
      <c r="F484" s="608">
        <v>0</v>
      </c>
      <c r="G484" s="103"/>
      <c r="H484" s="103"/>
      <c r="I484" s="103"/>
    </row>
    <row r="485" spans="1:9" ht="15">
      <c r="A485" s="583" t="s">
        <v>1149</v>
      </c>
      <c r="B485" s="584" t="s">
        <v>1150</v>
      </c>
      <c r="C485" s="584" t="s">
        <v>872</v>
      </c>
      <c r="D485" s="584" t="s">
        <v>1549</v>
      </c>
      <c r="E485" s="584" t="s">
        <v>100</v>
      </c>
      <c r="F485" s="608">
        <v>0</v>
      </c>
      <c r="G485" s="103"/>
      <c r="H485" s="103"/>
      <c r="I485" s="103"/>
    </row>
    <row r="486" spans="1:9" ht="15">
      <c r="A486" s="583" t="s">
        <v>1151</v>
      </c>
      <c r="B486" s="584" t="s">
        <v>1152</v>
      </c>
      <c r="C486" s="584" t="s">
        <v>872</v>
      </c>
      <c r="D486" s="584" t="s">
        <v>1550</v>
      </c>
      <c r="E486" s="584" t="s">
        <v>1153</v>
      </c>
      <c r="F486" s="608">
        <v>0</v>
      </c>
      <c r="G486" s="103"/>
      <c r="H486" s="103"/>
      <c r="I486" s="103"/>
    </row>
    <row r="487" spans="1:9" ht="15">
      <c r="A487" s="583" t="s">
        <v>1154</v>
      </c>
      <c r="B487" s="584" t="s">
        <v>1155</v>
      </c>
      <c r="C487" s="584" t="s">
        <v>872</v>
      </c>
      <c r="D487" s="584" t="s">
        <v>1550</v>
      </c>
      <c r="E487" s="584" t="s">
        <v>1156</v>
      </c>
      <c r="F487" s="608">
        <v>-77069.37</v>
      </c>
      <c r="G487" s="103"/>
      <c r="H487" s="103"/>
      <c r="I487" s="103"/>
    </row>
    <row r="488" spans="1:9" ht="15">
      <c r="A488" s="583" t="s">
        <v>1157</v>
      </c>
      <c r="B488" s="584" t="s">
        <v>1158</v>
      </c>
      <c r="C488" s="584" t="s">
        <v>872</v>
      </c>
      <c r="D488" s="584" t="s">
        <v>1550</v>
      </c>
      <c r="E488" s="584" t="s">
        <v>1159</v>
      </c>
      <c r="F488" s="608">
        <v>-77069.37</v>
      </c>
      <c r="G488" s="103"/>
      <c r="H488" s="103"/>
      <c r="I488" s="103"/>
    </row>
    <row r="489" spans="1:9" ht="15">
      <c r="A489" s="583" t="s">
        <v>1160</v>
      </c>
      <c r="B489" s="584" t="s">
        <v>1161</v>
      </c>
      <c r="C489" s="584" t="s">
        <v>872</v>
      </c>
      <c r="D489" s="584" t="s">
        <v>1548</v>
      </c>
      <c r="E489" s="584" t="s">
        <v>100</v>
      </c>
      <c r="F489" s="608">
        <v>0</v>
      </c>
      <c r="G489" s="103"/>
      <c r="H489" s="103"/>
      <c r="I489" s="103"/>
    </row>
    <row r="490" spans="1:9" ht="15">
      <c r="A490" s="583" t="s">
        <v>1162</v>
      </c>
      <c r="B490" s="584" t="s">
        <v>1163</v>
      </c>
      <c r="C490" s="584" t="s">
        <v>872</v>
      </c>
      <c r="D490" s="584" t="s">
        <v>1549</v>
      </c>
      <c r="E490" s="584" t="s">
        <v>100</v>
      </c>
      <c r="F490" s="608">
        <v>-26560</v>
      </c>
      <c r="G490" s="103"/>
      <c r="H490" s="103"/>
      <c r="I490" s="103">
        <v>-27</v>
      </c>
    </row>
    <row r="491" spans="1:9" ht="15">
      <c r="A491" s="583" t="s">
        <v>1164</v>
      </c>
      <c r="B491" s="584" t="s">
        <v>1165</v>
      </c>
      <c r="C491" s="584" t="s">
        <v>872</v>
      </c>
      <c r="D491" s="584" t="s">
        <v>1549</v>
      </c>
      <c r="E491" s="584" t="s">
        <v>100</v>
      </c>
      <c r="F491" s="608">
        <v>-4980</v>
      </c>
      <c r="G491" s="103"/>
      <c r="H491" s="103"/>
      <c r="I491" s="103">
        <v>-5</v>
      </c>
    </row>
    <row r="492" spans="1:9" ht="15">
      <c r="A492" s="583" t="s">
        <v>1166</v>
      </c>
      <c r="B492" s="584" t="s">
        <v>1167</v>
      </c>
      <c r="C492" s="584" t="s">
        <v>872</v>
      </c>
      <c r="D492" s="584" t="s">
        <v>1549</v>
      </c>
      <c r="E492" s="584" t="s">
        <v>100</v>
      </c>
      <c r="F492" s="608">
        <v>0</v>
      </c>
      <c r="G492" s="103"/>
      <c r="H492" s="103"/>
      <c r="I492" s="103"/>
    </row>
    <row r="493" spans="1:9" ht="15">
      <c r="A493" s="583" t="s">
        <v>1168</v>
      </c>
      <c r="B493" s="584" t="s">
        <v>1169</v>
      </c>
      <c r="C493" s="584" t="s">
        <v>872</v>
      </c>
      <c r="D493" s="584" t="s">
        <v>1549</v>
      </c>
      <c r="E493" s="584" t="s">
        <v>100</v>
      </c>
      <c r="F493" s="608">
        <v>-43380</v>
      </c>
      <c r="G493" s="103"/>
      <c r="H493" s="103"/>
      <c r="I493" s="103">
        <v>-43</v>
      </c>
    </row>
    <row r="494" spans="1:9" ht="15">
      <c r="A494" s="583" t="s">
        <v>1170</v>
      </c>
      <c r="B494" s="584" t="s">
        <v>1171</v>
      </c>
      <c r="C494" s="584" t="s">
        <v>872</v>
      </c>
      <c r="D494" s="584" t="s">
        <v>1549</v>
      </c>
      <c r="E494" s="584" t="s">
        <v>100</v>
      </c>
      <c r="F494" s="608">
        <v>0</v>
      </c>
      <c r="G494" s="103"/>
      <c r="H494" s="103"/>
      <c r="I494" s="103"/>
    </row>
    <row r="495" spans="1:9" ht="15">
      <c r="A495" s="583" t="s">
        <v>1172</v>
      </c>
      <c r="B495" s="584" t="s">
        <v>1173</v>
      </c>
      <c r="C495" s="584" t="s">
        <v>872</v>
      </c>
      <c r="D495" s="584" t="s">
        <v>1549</v>
      </c>
      <c r="E495" s="584" t="s">
        <v>100</v>
      </c>
      <c r="F495" s="608">
        <v>-16820</v>
      </c>
      <c r="G495" s="103"/>
      <c r="H495" s="103"/>
      <c r="I495" s="103">
        <v>-17</v>
      </c>
    </row>
    <row r="496" spans="1:9" ht="15">
      <c r="A496" s="583" t="s">
        <v>1174</v>
      </c>
      <c r="B496" s="584" t="s">
        <v>1175</v>
      </c>
      <c r="C496" s="584" t="s">
        <v>872</v>
      </c>
      <c r="D496" s="584" t="s">
        <v>1549</v>
      </c>
      <c r="E496" s="584" t="s">
        <v>100</v>
      </c>
      <c r="F496" s="608">
        <v>-19780</v>
      </c>
      <c r="G496" s="103"/>
      <c r="H496" s="103"/>
      <c r="I496" s="103">
        <v>-20</v>
      </c>
    </row>
    <row r="497" spans="1:9" ht="15">
      <c r="A497" s="583" t="s">
        <v>1176</v>
      </c>
      <c r="B497" s="584" t="s">
        <v>1177</v>
      </c>
      <c r="C497" s="584" t="s">
        <v>872</v>
      </c>
      <c r="D497" s="584" t="s">
        <v>1549</v>
      </c>
      <c r="E497" s="584" t="s">
        <v>100</v>
      </c>
      <c r="F497" s="608">
        <v>-41020</v>
      </c>
      <c r="G497" s="103"/>
      <c r="H497" s="103"/>
      <c r="I497" s="103">
        <v>-41</v>
      </c>
    </row>
    <row r="498" spans="1:9" ht="15">
      <c r="A498" s="583" t="s">
        <v>1178</v>
      </c>
      <c r="B498" s="584" t="s">
        <v>1179</v>
      </c>
      <c r="C498" s="584" t="s">
        <v>872</v>
      </c>
      <c r="D498" s="584" t="s">
        <v>1549</v>
      </c>
      <c r="E498" s="584" t="s">
        <v>100</v>
      </c>
      <c r="F498" s="608">
        <v>0</v>
      </c>
      <c r="G498" s="103"/>
      <c r="H498" s="103"/>
      <c r="I498" s="103"/>
    </row>
    <row r="499" spans="1:9" ht="15">
      <c r="A499" s="583" t="s">
        <v>1180</v>
      </c>
      <c r="B499" s="584" t="s">
        <v>1181</v>
      </c>
      <c r="C499" s="584" t="s">
        <v>872</v>
      </c>
      <c r="D499" s="584" t="s">
        <v>1549</v>
      </c>
      <c r="E499" s="584" t="s">
        <v>100</v>
      </c>
      <c r="F499" s="608">
        <v>0</v>
      </c>
      <c r="G499" s="103"/>
      <c r="H499" s="103"/>
      <c r="I499" s="103"/>
    </row>
    <row r="500" spans="1:9" ht="15">
      <c r="A500" s="583" t="s">
        <v>1182</v>
      </c>
      <c r="B500" s="584" t="s">
        <v>1183</v>
      </c>
      <c r="C500" s="584" t="s">
        <v>872</v>
      </c>
      <c r="D500" s="584" t="s">
        <v>1549</v>
      </c>
      <c r="E500" s="584" t="s">
        <v>100</v>
      </c>
      <c r="F500" s="608">
        <v>-105930.72</v>
      </c>
      <c r="G500" s="103"/>
      <c r="H500" s="103"/>
      <c r="I500" s="103">
        <v>-106</v>
      </c>
    </row>
    <row r="501" spans="1:9" ht="15">
      <c r="A501" s="583" t="s">
        <v>1184</v>
      </c>
      <c r="B501" s="584" t="s">
        <v>1185</v>
      </c>
      <c r="C501" s="584" t="s">
        <v>872</v>
      </c>
      <c r="D501" s="584" t="s">
        <v>1549</v>
      </c>
      <c r="E501" s="584" t="s">
        <v>100</v>
      </c>
      <c r="F501" s="608">
        <v>-24297.439999999999</v>
      </c>
      <c r="G501" s="103"/>
      <c r="H501" s="103"/>
      <c r="I501" s="103">
        <v>-24</v>
      </c>
    </row>
    <row r="502" spans="1:9" ht="15">
      <c r="A502" s="583" t="s">
        <v>1186</v>
      </c>
      <c r="B502" s="584" t="s">
        <v>1618</v>
      </c>
      <c r="C502" s="584" t="s">
        <v>872</v>
      </c>
      <c r="D502" s="584" t="s">
        <v>1549</v>
      </c>
      <c r="E502" s="584" t="s">
        <v>100</v>
      </c>
      <c r="F502" s="608">
        <v>1875.86</v>
      </c>
      <c r="G502" s="103"/>
      <c r="H502" s="103"/>
      <c r="I502" s="103">
        <v>2</v>
      </c>
    </row>
    <row r="503" spans="1:9" ht="15">
      <c r="A503" s="583" t="s">
        <v>1188</v>
      </c>
      <c r="B503" s="584" t="s">
        <v>1189</v>
      </c>
      <c r="C503" s="584" t="s">
        <v>872</v>
      </c>
      <c r="D503" s="584" t="s">
        <v>1549</v>
      </c>
      <c r="E503" s="584" t="s">
        <v>100</v>
      </c>
      <c r="F503" s="608">
        <v>0</v>
      </c>
      <c r="G503" s="103"/>
      <c r="H503" s="103"/>
      <c r="I503" s="103"/>
    </row>
    <row r="504" spans="1:9" ht="15">
      <c r="A504" s="583" t="s">
        <v>1190</v>
      </c>
      <c r="B504" s="584" t="s">
        <v>1191</v>
      </c>
      <c r="C504" s="584" t="s">
        <v>872</v>
      </c>
      <c r="D504" s="584" t="s">
        <v>1549</v>
      </c>
      <c r="E504" s="584" t="s">
        <v>100</v>
      </c>
      <c r="F504" s="608">
        <v>0</v>
      </c>
      <c r="G504" s="103"/>
      <c r="H504" s="103"/>
      <c r="I504" s="103"/>
    </row>
    <row r="505" spans="1:9" ht="15">
      <c r="A505" s="583" t="s">
        <v>1192</v>
      </c>
      <c r="B505" s="584" t="s">
        <v>1193</v>
      </c>
      <c r="C505" s="584" t="s">
        <v>872</v>
      </c>
      <c r="D505" s="584" t="s">
        <v>1549</v>
      </c>
      <c r="E505" s="584" t="s">
        <v>100</v>
      </c>
      <c r="F505" s="608">
        <v>0</v>
      </c>
      <c r="G505" s="103"/>
      <c r="H505" s="103"/>
      <c r="I505" s="103"/>
    </row>
    <row r="506" spans="1:9" ht="15">
      <c r="A506" s="583" t="s">
        <v>1194</v>
      </c>
      <c r="B506" s="584" t="s">
        <v>1195</v>
      </c>
      <c r="C506" s="584" t="s">
        <v>872</v>
      </c>
      <c r="D506" s="584" t="s">
        <v>1549</v>
      </c>
      <c r="E506" s="584" t="s">
        <v>100</v>
      </c>
      <c r="F506" s="608">
        <v>-1127.18</v>
      </c>
      <c r="G506" s="103"/>
      <c r="H506" s="103"/>
      <c r="I506" s="103">
        <v>-1</v>
      </c>
    </row>
    <row r="507" spans="1:9" ht="15">
      <c r="A507" s="583" t="s">
        <v>1196</v>
      </c>
      <c r="B507" s="584" t="s">
        <v>1197</v>
      </c>
      <c r="C507" s="584" t="s">
        <v>872</v>
      </c>
      <c r="D507" s="584" t="s">
        <v>1549</v>
      </c>
      <c r="E507" s="584" t="s">
        <v>100</v>
      </c>
      <c r="F507" s="608">
        <v>0</v>
      </c>
      <c r="G507" s="103"/>
      <c r="H507" s="103"/>
      <c r="I507" s="103"/>
    </row>
    <row r="508" spans="1:9" ht="15">
      <c r="A508" s="583" t="s">
        <v>1198</v>
      </c>
      <c r="B508" s="584" t="s">
        <v>1199</v>
      </c>
      <c r="C508" s="584" t="s">
        <v>872</v>
      </c>
      <c r="D508" s="584" t="s">
        <v>1549</v>
      </c>
      <c r="E508" s="584" t="s">
        <v>100</v>
      </c>
      <c r="F508" s="608">
        <v>-78145.119999999995</v>
      </c>
      <c r="G508" s="103"/>
      <c r="H508" s="103"/>
      <c r="I508" s="103">
        <v>-78</v>
      </c>
    </row>
    <row r="509" spans="1:9" ht="15">
      <c r="A509" s="583" t="s">
        <v>1200</v>
      </c>
      <c r="B509" s="584" t="s">
        <v>1201</v>
      </c>
      <c r="C509" s="584" t="s">
        <v>872</v>
      </c>
      <c r="D509" s="584" t="s">
        <v>1550</v>
      </c>
      <c r="E509" s="584" t="s">
        <v>1202</v>
      </c>
      <c r="F509" s="608">
        <v>-360164.6</v>
      </c>
      <c r="G509" s="103"/>
      <c r="H509" s="103"/>
      <c r="I509" s="103"/>
    </row>
    <row r="510" spans="1:9" ht="15">
      <c r="A510" s="583" t="s">
        <v>1203</v>
      </c>
      <c r="B510" s="584" t="s">
        <v>1204</v>
      </c>
      <c r="C510" s="584" t="s">
        <v>872</v>
      </c>
      <c r="D510" s="584" t="s">
        <v>1548</v>
      </c>
      <c r="E510" s="584" t="s">
        <v>100</v>
      </c>
      <c r="F510" s="608">
        <v>0</v>
      </c>
      <c r="G510" s="103"/>
      <c r="H510" s="103"/>
      <c r="I510" s="103"/>
    </row>
    <row r="511" spans="1:9" ht="15">
      <c r="A511" s="583" t="s">
        <v>1205</v>
      </c>
      <c r="B511" s="584" t="s">
        <v>1206</v>
      </c>
      <c r="C511" s="584" t="s">
        <v>872</v>
      </c>
      <c r="D511" s="584" t="s">
        <v>1549</v>
      </c>
      <c r="E511" s="584" t="s">
        <v>100</v>
      </c>
      <c r="F511" s="608">
        <v>-813125.52</v>
      </c>
      <c r="G511" s="103"/>
      <c r="H511" s="103"/>
      <c r="I511" s="103">
        <v>-813</v>
      </c>
    </row>
    <row r="512" spans="1:9" ht="15">
      <c r="A512" s="583" t="s">
        <v>1207</v>
      </c>
      <c r="B512" s="584" t="s">
        <v>1208</v>
      </c>
      <c r="C512" s="584" t="s">
        <v>872</v>
      </c>
      <c r="D512" s="584" t="s">
        <v>1550</v>
      </c>
      <c r="E512" s="584" t="s">
        <v>1209</v>
      </c>
      <c r="F512" s="608">
        <v>-813125.52</v>
      </c>
      <c r="G512" s="103"/>
      <c r="H512" s="103"/>
      <c r="I512" s="103"/>
    </row>
    <row r="513" spans="1:9" ht="15">
      <c r="A513" s="583" t="s">
        <v>1210</v>
      </c>
      <c r="B513" s="584" t="s">
        <v>1211</v>
      </c>
      <c r="C513" s="584" t="s">
        <v>872</v>
      </c>
      <c r="D513" s="584" t="s">
        <v>1548</v>
      </c>
      <c r="E513" s="584" t="s">
        <v>100</v>
      </c>
      <c r="F513" s="608">
        <v>0</v>
      </c>
      <c r="G513" s="103"/>
      <c r="H513" s="103"/>
      <c r="I513" s="103"/>
    </row>
    <row r="514" spans="1:9" ht="15">
      <c r="A514" s="583" t="s">
        <v>1212</v>
      </c>
      <c r="B514" s="584" t="s">
        <v>1622</v>
      </c>
      <c r="C514" s="584" t="s">
        <v>872</v>
      </c>
      <c r="D514" s="584" t="s">
        <v>1549</v>
      </c>
      <c r="E514" s="584" t="s">
        <v>100</v>
      </c>
      <c r="F514" s="608">
        <v>0</v>
      </c>
      <c r="G514" s="103"/>
      <c r="H514" s="103"/>
      <c r="I514" s="103"/>
    </row>
    <row r="515" spans="1:9" ht="15">
      <c r="A515" s="583" t="s">
        <v>1214</v>
      </c>
      <c r="B515" s="584" t="s">
        <v>1623</v>
      </c>
      <c r="C515" s="584" t="s">
        <v>872</v>
      </c>
      <c r="D515" s="584" t="s">
        <v>1549</v>
      </c>
      <c r="E515" s="584" t="s">
        <v>100</v>
      </c>
      <c r="F515" s="608">
        <v>0</v>
      </c>
      <c r="G515" s="103"/>
      <c r="H515" s="103"/>
      <c r="I515" s="103"/>
    </row>
    <row r="516" spans="1:9" ht="15">
      <c r="A516" s="583" t="s">
        <v>1216</v>
      </c>
      <c r="B516" s="584" t="s">
        <v>1217</v>
      </c>
      <c r="C516" s="584" t="s">
        <v>872</v>
      </c>
      <c r="D516" s="584" t="s">
        <v>1549</v>
      </c>
      <c r="E516" s="584" t="s">
        <v>100</v>
      </c>
      <c r="F516" s="608">
        <v>-30073.99</v>
      </c>
      <c r="G516" s="103"/>
      <c r="H516" s="103"/>
      <c r="I516" s="103">
        <v>-30</v>
      </c>
    </row>
    <row r="517" spans="1:9" ht="15">
      <c r="A517" s="583" t="s">
        <v>1218</v>
      </c>
      <c r="B517" s="584" t="s">
        <v>1219</v>
      </c>
      <c r="C517" s="584" t="s">
        <v>872</v>
      </c>
      <c r="D517" s="584" t="s">
        <v>1549</v>
      </c>
      <c r="E517" s="584" t="s">
        <v>100</v>
      </c>
      <c r="F517" s="608">
        <v>-26602.17</v>
      </c>
      <c r="G517" s="103"/>
      <c r="H517" s="103"/>
      <c r="I517" s="103">
        <v>-27</v>
      </c>
    </row>
    <row r="518" spans="1:9" ht="15">
      <c r="A518" s="583" t="s">
        <v>1220</v>
      </c>
      <c r="B518" s="584" t="s">
        <v>1221</v>
      </c>
      <c r="C518" s="584" t="s">
        <v>872</v>
      </c>
      <c r="D518" s="584" t="s">
        <v>1549</v>
      </c>
      <c r="E518" s="584" t="s">
        <v>100</v>
      </c>
      <c r="F518" s="608">
        <v>-3793.11</v>
      </c>
      <c r="G518" s="103"/>
      <c r="H518" s="103"/>
      <c r="I518" s="103">
        <v>-4</v>
      </c>
    </row>
    <row r="519" spans="1:9" ht="15">
      <c r="A519" s="583" t="s">
        <v>1222</v>
      </c>
      <c r="B519" s="584" t="s">
        <v>1223</v>
      </c>
      <c r="C519" s="584" t="s">
        <v>872</v>
      </c>
      <c r="D519" s="584" t="s">
        <v>1549</v>
      </c>
      <c r="E519" s="584" t="s">
        <v>100</v>
      </c>
      <c r="F519" s="608">
        <v>0</v>
      </c>
      <c r="G519" s="103"/>
      <c r="H519" s="103"/>
      <c r="I519" s="103"/>
    </row>
    <row r="520" spans="1:9" ht="15">
      <c r="A520" s="583" t="s">
        <v>1224</v>
      </c>
      <c r="B520" s="584" t="s">
        <v>1624</v>
      </c>
      <c r="C520" s="584" t="s">
        <v>872</v>
      </c>
      <c r="D520" s="584" t="s">
        <v>1549</v>
      </c>
      <c r="E520" s="584" t="s">
        <v>100</v>
      </c>
      <c r="F520" s="608">
        <v>0</v>
      </c>
      <c r="G520" s="103"/>
      <c r="H520" s="103"/>
      <c r="I520" s="103"/>
    </row>
    <row r="521" spans="1:9" ht="15">
      <c r="A521" s="583" t="s">
        <v>1226</v>
      </c>
      <c r="B521" s="584" t="s">
        <v>1225</v>
      </c>
      <c r="C521" s="584" t="s">
        <v>872</v>
      </c>
      <c r="D521" s="584" t="s">
        <v>1549</v>
      </c>
      <c r="E521" s="584" t="s">
        <v>100</v>
      </c>
      <c r="F521" s="608">
        <v>1280</v>
      </c>
      <c r="G521" s="103"/>
      <c r="H521" s="103"/>
      <c r="I521" s="103">
        <v>1</v>
      </c>
    </row>
    <row r="522" spans="1:9" ht="15">
      <c r="A522" s="583" t="s">
        <v>1228</v>
      </c>
      <c r="B522" s="584" t="s">
        <v>1229</v>
      </c>
      <c r="C522" s="584" t="s">
        <v>872</v>
      </c>
      <c r="D522" s="584" t="s">
        <v>1550</v>
      </c>
      <c r="E522" s="584" t="s">
        <v>1230</v>
      </c>
      <c r="F522" s="608">
        <v>-59189.27</v>
      </c>
      <c r="G522" s="103"/>
      <c r="H522" s="103"/>
      <c r="I522" s="103"/>
    </row>
    <row r="523" spans="1:9" ht="15">
      <c r="A523" s="583" t="s">
        <v>1231</v>
      </c>
      <c r="B523" s="584" t="s">
        <v>1232</v>
      </c>
      <c r="C523" s="584" t="s">
        <v>872</v>
      </c>
      <c r="D523" s="584" t="s">
        <v>1548</v>
      </c>
      <c r="E523" s="584" t="s">
        <v>100</v>
      </c>
      <c r="F523" s="608">
        <v>0</v>
      </c>
      <c r="G523" s="103"/>
      <c r="H523" s="103"/>
      <c r="I523" s="103"/>
    </row>
    <row r="524" spans="1:9" ht="15">
      <c r="A524" s="583" t="s">
        <v>1233</v>
      </c>
      <c r="B524" s="584" t="s">
        <v>1234</v>
      </c>
      <c r="C524" s="584" t="s">
        <v>872</v>
      </c>
      <c r="D524" s="584" t="s">
        <v>1549</v>
      </c>
      <c r="E524" s="584" t="s">
        <v>100</v>
      </c>
      <c r="F524" s="608">
        <v>-3223.65</v>
      </c>
      <c r="G524" s="103"/>
      <c r="H524" s="103"/>
      <c r="I524" s="103">
        <v>-3</v>
      </c>
    </row>
    <row r="525" spans="1:9" ht="15">
      <c r="A525" s="583" t="s">
        <v>1235</v>
      </c>
      <c r="B525" s="584" t="s">
        <v>1236</v>
      </c>
      <c r="C525" s="584" t="s">
        <v>872</v>
      </c>
      <c r="D525" s="584" t="s">
        <v>1549</v>
      </c>
      <c r="E525" s="584" t="s">
        <v>100</v>
      </c>
      <c r="F525" s="608">
        <v>0</v>
      </c>
      <c r="G525" s="103"/>
      <c r="H525" s="103"/>
      <c r="I525" s="103"/>
    </row>
    <row r="526" spans="1:9" ht="15">
      <c r="A526" s="583" t="s">
        <v>1237</v>
      </c>
      <c r="B526" s="584" t="s">
        <v>1238</v>
      </c>
      <c r="C526" s="584" t="s">
        <v>872</v>
      </c>
      <c r="D526" s="584" t="s">
        <v>1549</v>
      </c>
      <c r="E526" s="584" t="s">
        <v>100</v>
      </c>
      <c r="F526" s="608">
        <v>4704.07</v>
      </c>
      <c r="G526" s="103">
        <v>-4529.07</v>
      </c>
      <c r="H526" s="103">
        <v>-5</v>
      </c>
      <c r="I526" s="103">
        <f>5+H526</f>
        <v>0</v>
      </c>
    </row>
    <row r="527" spans="1:9" ht="15">
      <c r="A527" s="583" t="s">
        <v>1239</v>
      </c>
      <c r="B527" s="584" t="s">
        <v>1240</v>
      </c>
      <c r="C527" s="584" t="s">
        <v>872</v>
      </c>
      <c r="D527" s="584" t="s">
        <v>1549</v>
      </c>
      <c r="E527" s="584" t="s">
        <v>100</v>
      </c>
      <c r="F527" s="608">
        <v>-59461.29</v>
      </c>
      <c r="G527" s="103"/>
      <c r="H527" s="103"/>
      <c r="I527" s="103">
        <v>-59</v>
      </c>
    </row>
    <row r="528" spans="1:9" ht="15">
      <c r="A528" s="583" t="s">
        <v>1241</v>
      </c>
      <c r="B528" s="584" t="s">
        <v>1242</v>
      </c>
      <c r="C528" s="584" t="s">
        <v>872</v>
      </c>
      <c r="D528" s="584" t="s">
        <v>1549</v>
      </c>
      <c r="E528" s="584" t="s">
        <v>100</v>
      </c>
      <c r="F528" s="608">
        <v>0</v>
      </c>
      <c r="G528" s="103"/>
      <c r="H528" s="103"/>
      <c r="I528" s="103"/>
    </row>
    <row r="529" spans="1:9" ht="15">
      <c r="A529" s="583" t="s">
        <v>1243</v>
      </c>
      <c r="B529" s="584" t="s">
        <v>1244</v>
      </c>
      <c r="C529" s="584" t="s">
        <v>872</v>
      </c>
      <c r="D529" s="584" t="s">
        <v>1549</v>
      </c>
      <c r="E529" s="584" t="s">
        <v>100</v>
      </c>
      <c r="F529" s="608">
        <v>0</v>
      </c>
      <c r="G529" s="103"/>
      <c r="H529" s="103"/>
      <c r="I529" s="103"/>
    </row>
    <row r="530" spans="1:9" ht="15">
      <c r="A530" s="583" t="s">
        <v>1245</v>
      </c>
      <c r="B530" s="584" t="s">
        <v>1246</v>
      </c>
      <c r="C530" s="584" t="s">
        <v>872</v>
      </c>
      <c r="D530" s="584" t="s">
        <v>1549</v>
      </c>
      <c r="E530" s="584" t="s">
        <v>100</v>
      </c>
      <c r="F530" s="608">
        <v>-287890.87</v>
      </c>
      <c r="G530" s="103">
        <f>-4883.13-988.28</f>
        <v>-5871.41</v>
      </c>
      <c r="H530" s="103">
        <v>-6</v>
      </c>
      <c r="I530" s="103">
        <f>-288+H530</f>
        <v>-294</v>
      </c>
    </row>
    <row r="531" spans="1:9" ht="15">
      <c r="A531" s="583" t="s">
        <v>1247</v>
      </c>
      <c r="B531" s="584" t="s">
        <v>1248</v>
      </c>
      <c r="C531" s="584" t="s">
        <v>872</v>
      </c>
      <c r="D531" s="584" t="s">
        <v>1549</v>
      </c>
      <c r="E531" s="584" t="s">
        <v>100</v>
      </c>
      <c r="F531" s="608">
        <v>0</v>
      </c>
      <c r="G531" s="103"/>
      <c r="H531" s="103"/>
      <c r="I531" s="103"/>
    </row>
    <row r="532" spans="1:9" ht="15">
      <c r="A532" s="583" t="s">
        <v>1249</v>
      </c>
      <c r="B532" s="584" t="s">
        <v>1250</v>
      </c>
      <c r="C532" s="584" t="s">
        <v>872</v>
      </c>
      <c r="D532" s="584" t="s">
        <v>1550</v>
      </c>
      <c r="E532" s="584" t="s">
        <v>1251</v>
      </c>
      <c r="F532" s="608">
        <v>-345871.74</v>
      </c>
      <c r="G532" s="103"/>
      <c r="H532" s="103"/>
      <c r="I532" s="103"/>
    </row>
    <row r="533" spans="1:9" ht="15">
      <c r="A533" s="583" t="s">
        <v>1252</v>
      </c>
      <c r="B533" s="584" t="s">
        <v>1253</v>
      </c>
      <c r="C533" s="584" t="s">
        <v>872</v>
      </c>
      <c r="D533" s="584" t="s">
        <v>1548</v>
      </c>
      <c r="E533" s="584" t="s">
        <v>100</v>
      </c>
      <c r="F533" s="608">
        <v>0</v>
      </c>
      <c r="G533" s="103"/>
      <c r="H533" s="103"/>
      <c r="I533" s="103"/>
    </row>
    <row r="534" spans="1:9" ht="15">
      <c r="A534" s="583" t="s">
        <v>1254</v>
      </c>
      <c r="B534" s="584" t="s">
        <v>155</v>
      </c>
      <c r="C534" s="584" t="s">
        <v>872</v>
      </c>
      <c r="D534" s="584" t="s">
        <v>1548</v>
      </c>
      <c r="E534" s="584" t="s">
        <v>100</v>
      </c>
      <c r="F534" s="608">
        <v>0</v>
      </c>
      <c r="G534" s="103"/>
      <c r="H534" s="103"/>
      <c r="I534" s="103"/>
    </row>
    <row r="535" spans="1:9" ht="15">
      <c r="A535" s="583" t="s">
        <v>1255</v>
      </c>
      <c r="B535" s="584" t="s">
        <v>1256</v>
      </c>
      <c r="C535" s="584" t="s">
        <v>872</v>
      </c>
      <c r="D535" s="584" t="s">
        <v>1548</v>
      </c>
      <c r="E535" s="584" t="s">
        <v>100</v>
      </c>
      <c r="F535" s="608">
        <v>0</v>
      </c>
      <c r="G535" s="103"/>
      <c r="H535" s="103"/>
      <c r="I535" s="103"/>
    </row>
    <row r="536" spans="1:9" ht="15">
      <c r="A536" s="583" t="s">
        <v>1257</v>
      </c>
      <c r="B536" s="584" t="s">
        <v>1258</v>
      </c>
      <c r="C536" s="584" t="s">
        <v>872</v>
      </c>
      <c r="D536" s="584" t="s">
        <v>1549</v>
      </c>
      <c r="E536" s="584" t="s">
        <v>100</v>
      </c>
      <c r="F536" s="608">
        <v>0</v>
      </c>
      <c r="G536" s="103"/>
      <c r="H536" s="103"/>
      <c r="I536" s="103"/>
    </row>
    <row r="537" spans="1:9" ht="15">
      <c r="A537" s="583" t="s">
        <v>1259</v>
      </c>
      <c r="B537" s="584" t="s">
        <v>1260</v>
      </c>
      <c r="C537" s="584" t="s">
        <v>872</v>
      </c>
      <c r="D537" s="584" t="s">
        <v>1549</v>
      </c>
      <c r="E537" s="584" t="s">
        <v>100</v>
      </c>
      <c r="F537" s="608">
        <v>0</v>
      </c>
      <c r="G537" s="103"/>
      <c r="H537" s="103"/>
      <c r="I537" s="103"/>
    </row>
    <row r="538" spans="1:9" ht="15">
      <c r="A538" s="583" t="s">
        <v>1261</v>
      </c>
      <c r="B538" s="584" t="s">
        <v>1262</v>
      </c>
      <c r="C538" s="584" t="s">
        <v>872</v>
      </c>
      <c r="D538" s="584" t="s">
        <v>1549</v>
      </c>
      <c r="E538" s="584" t="s">
        <v>100</v>
      </c>
      <c r="F538" s="608">
        <v>0</v>
      </c>
      <c r="G538" s="103"/>
      <c r="H538" s="103"/>
      <c r="I538" s="103"/>
    </row>
    <row r="539" spans="1:9" ht="15">
      <c r="A539" s="583" t="s">
        <v>1263</v>
      </c>
      <c r="B539" s="584" t="s">
        <v>1264</v>
      </c>
      <c r="C539" s="584" t="s">
        <v>872</v>
      </c>
      <c r="D539" s="584" t="s">
        <v>1549</v>
      </c>
      <c r="E539" s="584" t="s">
        <v>100</v>
      </c>
      <c r="F539" s="608">
        <v>0</v>
      </c>
      <c r="G539" s="103"/>
      <c r="H539" s="103"/>
      <c r="I539" s="103"/>
    </row>
    <row r="540" spans="1:9" ht="15">
      <c r="A540" s="583" t="s">
        <v>1265</v>
      </c>
      <c r="B540" s="584" t="s">
        <v>1266</v>
      </c>
      <c r="C540" s="584" t="s">
        <v>872</v>
      </c>
      <c r="D540" s="584" t="s">
        <v>1549</v>
      </c>
      <c r="E540" s="584" t="s">
        <v>100</v>
      </c>
      <c r="F540" s="608">
        <v>0</v>
      </c>
      <c r="G540" s="103"/>
      <c r="H540" s="103"/>
      <c r="I540" s="103"/>
    </row>
    <row r="541" spans="1:9" ht="15">
      <c r="A541" s="583" t="s">
        <v>1267</v>
      </c>
      <c r="B541" s="584" t="s">
        <v>1268</v>
      </c>
      <c r="C541" s="584" t="s">
        <v>872</v>
      </c>
      <c r="D541" s="584" t="s">
        <v>1549</v>
      </c>
      <c r="E541" s="584" t="s">
        <v>100</v>
      </c>
      <c r="F541" s="608">
        <v>0</v>
      </c>
      <c r="G541" s="103"/>
      <c r="H541" s="103"/>
      <c r="I541" s="103"/>
    </row>
    <row r="542" spans="1:9" ht="15">
      <c r="A542" s="583" t="s">
        <v>1269</v>
      </c>
      <c r="B542" s="584" t="s">
        <v>1270</v>
      </c>
      <c r="C542" s="584" t="s">
        <v>872</v>
      </c>
      <c r="D542" s="584" t="s">
        <v>1550</v>
      </c>
      <c r="E542" s="584" t="s">
        <v>1271</v>
      </c>
      <c r="F542" s="608">
        <v>0</v>
      </c>
      <c r="G542" s="103"/>
      <c r="H542" s="103"/>
      <c r="I542" s="103"/>
    </row>
    <row r="543" spans="1:9" ht="15">
      <c r="A543" s="583" t="s">
        <v>1272</v>
      </c>
      <c r="B543" s="584" t="s">
        <v>189</v>
      </c>
      <c r="C543" s="584" t="s">
        <v>872</v>
      </c>
      <c r="D543" s="584" t="s">
        <v>1548</v>
      </c>
      <c r="E543" s="584" t="s">
        <v>100</v>
      </c>
      <c r="F543" s="608">
        <v>0</v>
      </c>
      <c r="G543" s="103"/>
      <c r="H543" s="103"/>
      <c r="I543" s="103"/>
    </row>
    <row r="544" spans="1:9" ht="15">
      <c r="A544" s="583" t="s">
        <v>1273</v>
      </c>
      <c r="B544" s="584" t="s">
        <v>1110</v>
      </c>
      <c r="C544" s="584" t="s">
        <v>872</v>
      </c>
      <c r="D544" s="584" t="s">
        <v>1549</v>
      </c>
      <c r="E544" s="584" t="s">
        <v>100</v>
      </c>
      <c r="F544" s="608">
        <v>0</v>
      </c>
      <c r="G544" s="103"/>
      <c r="H544" s="103"/>
      <c r="I544" s="103"/>
    </row>
    <row r="545" spans="1:9" ht="15">
      <c r="A545" s="583" t="s">
        <v>1274</v>
      </c>
      <c r="B545" s="584" t="s">
        <v>1275</v>
      </c>
      <c r="C545" s="584" t="s">
        <v>872</v>
      </c>
      <c r="D545" s="584" t="s">
        <v>1549</v>
      </c>
      <c r="E545" s="584" t="s">
        <v>100</v>
      </c>
      <c r="F545" s="608">
        <v>0</v>
      </c>
      <c r="G545" s="103"/>
      <c r="H545" s="103"/>
      <c r="I545" s="103"/>
    </row>
    <row r="546" spans="1:9" ht="15">
      <c r="A546" s="583" t="s">
        <v>1276</v>
      </c>
      <c r="B546" s="584" t="s">
        <v>1277</v>
      </c>
      <c r="C546" s="584" t="s">
        <v>872</v>
      </c>
      <c r="D546" s="584" t="s">
        <v>1549</v>
      </c>
      <c r="E546" s="584" t="s">
        <v>100</v>
      </c>
      <c r="F546" s="608">
        <v>0</v>
      </c>
      <c r="G546" s="103"/>
      <c r="H546" s="103"/>
      <c r="I546" s="103"/>
    </row>
    <row r="547" spans="1:9" ht="15">
      <c r="A547" s="583" t="s">
        <v>1278</v>
      </c>
      <c r="B547" s="584" t="s">
        <v>1279</v>
      </c>
      <c r="C547" s="584" t="s">
        <v>872</v>
      </c>
      <c r="D547" s="584" t="s">
        <v>1549</v>
      </c>
      <c r="E547" s="584" t="s">
        <v>100</v>
      </c>
      <c r="F547" s="608">
        <v>-127900</v>
      </c>
      <c r="G547" s="103"/>
      <c r="H547" s="103"/>
      <c r="I547" s="103">
        <v>-128</v>
      </c>
    </row>
    <row r="548" spans="1:9" ht="15">
      <c r="A548" s="583" t="s">
        <v>1280</v>
      </c>
      <c r="B548" s="584" t="s">
        <v>1281</v>
      </c>
      <c r="C548" s="584" t="s">
        <v>872</v>
      </c>
      <c r="D548" s="584" t="s">
        <v>1549</v>
      </c>
      <c r="E548" s="584" t="s">
        <v>100</v>
      </c>
      <c r="F548" s="608">
        <v>0</v>
      </c>
      <c r="G548" s="103"/>
      <c r="H548" s="103"/>
      <c r="I548" s="103"/>
    </row>
    <row r="549" spans="1:9" ht="15">
      <c r="A549" s="583" t="s">
        <v>1282</v>
      </c>
      <c r="B549" s="584" t="s">
        <v>251</v>
      </c>
      <c r="C549" s="584" t="s">
        <v>872</v>
      </c>
      <c r="D549" s="584" t="s">
        <v>1550</v>
      </c>
      <c r="E549" s="584" t="s">
        <v>1283</v>
      </c>
      <c r="F549" s="608">
        <v>-127900</v>
      </c>
      <c r="G549" s="103"/>
      <c r="H549" s="103"/>
      <c r="I549" s="103"/>
    </row>
    <row r="550" spans="1:9" ht="15">
      <c r="A550" s="583" t="s">
        <v>1284</v>
      </c>
      <c r="B550" s="584" t="s">
        <v>278</v>
      </c>
      <c r="C550" s="584" t="s">
        <v>872</v>
      </c>
      <c r="D550" s="584" t="s">
        <v>1550</v>
      </c>
      <c r="E550" s="584" t="s">
        <v>1285</v>
      </c>
      <c r="F550" s="608">
        <v>-127900</v>
      </c>
      <c r="G550" s="103"/>
      <c r="H550" s="103"/>
      <c r="I550" s="103"/>
    </row>
    <row r="551" spans="1:9" ht="15">
      <c r="A551" s="583" t="s">
        <v>1286</v>
      </c>
      <c r="B551" s="584" t="s">
        <v>281</v>
      </c>
      <c r="C551" s="584" t="s">
        <v>872</v>
      </c>
      <c r="D551" s="584" t="s">
        <v>1548</v>
      </c>
      <c r="E551" s="584" t="s">
        <v>100</v>
      </c>
      <c r="F551" s="608">
        <v>0</v>
      </c>
      <c r="G551" s="103"/>
      <c r="H551" s="103"/>
      <c r="I551" s="103"/>
    </row>
    <row r="552" spans="1:9" ht="15">
      <c r="A552" s="583" t="s">
        <v>1287</v>
      </c>
      <c r="B552" s="584" t="s">
        <v>1288</v>
      </c>
      <c r="C552" s="584" t="s">
        <v>872</v>
      </c>
      <c r="D552" s="584" t="s">
        <v>1548</v>
      </c>
      <c r="E552" s="584" t="s">
        <v>100</v>
      </c>
      <c r="F552" s="608">
        <v>0</v>
      </c>
      <c r="G552" s="103"/>
      <c r="H552" s="103"/>
      <c r="I552" s="103"/>
    </row>
    <row r="553" spans="1:9" ht="15">
      <c r="A553" s="583" t="s">
        <v>1289</v>
      </c>
      <c r="B553" s="584" t="s">
        <v>47</v>
      </c>
      <c r="C553" s="584" t="s">
        <v>872</v>
      </c>
      <c r="D553" s="584" t="s">
        <v>1549</v>
      </c>
      <c r="E553" s="584" t="s">
        <v>100</v>
      </c>
      <c r="F553" s="608">
        <v>883686.32</v>
      </c>
      <c r="G553" s="103"/>
      <c r="H553" s="103"/>
      <c r="I553" s="103">
        <v>884</v>
      </c>
    </row>
    <row r="554" spans="1:9" ht="15">
      <c r="A554" s="583" t="s">
        <v>1290</v>
      </c>
      <c r="B554" s="584" t="s">
        <v>1291</v>
      </c>
      <c r="C554" s="584" t="s">
        <v>872</v>
      </c>
      <c r="D554" s="584" t="s">
        <v>1549</v>
      </c>
      <c r="E554" s="584" t="s">
        <v>100</v>
      </c>
      <c r="F554" s="608">
        <v>0</v>
      </c>
      <c r="G554" s="103"/>
      <c r="H554" s="103"/>
      <c r="I554" s="103"/>
    </row>
    <row r="555" spans="1:9" ht="15">
      <c r="A555" s="583" t="s">
        <v>1292</v>
      </c>
      <c r="B555" s="584" t="s">
        <v>1293</v>
      </c>
      <c r="C555" s="584" t="s">
        <v>872</v>
      </c>
      <c r="D555" s="584" t="s">
        <v>1549</v>
      </c>
      <c r="E555" s="584" t="s">
        <v>100</v>
      </c>
      <c r="F555" s="608">
        <v>66969.66</v>
      </c>
      <c r="G555" s="103"/>
      <c r="H555" s="103"/>
      <c r="I555" s="103">
        <v>67</v>
      </c>
    </row>
    <row r="556" spans="1:9" ht="15">
      <c r="A556" s="583" t="s">
        <v>1294</v>
      </c>
      <c r="B556" s="584" t="s">
        <v>1295</v>
      </c>
      <c r="C556" s="584" t="s">
        <v>872</v>
      </c>
      <c r="D556" s="584" t="s">
        <v>1549</v>
      </c>
      <c r="E556" s="584" t="s">
        <v>100</v>
      </c>
      <c r="F556" s="608">
        <v>24468.01</v>
      </c>
      <c r="G556" s="103"/>
      <c r="H556" s="103"/>
      <c r="I556" s="103">
        <v>24</v>
      </c>
    </row>
    <row r="557" spans="1:9" ht="15">
      <c r="A557" s="583" t="s">
        <v>1296</v>
      </c>
      <c r="B557" s="584" t="s">
        <v>1297</v>
      </c>
      <c r="C557" s="584" t="s">
        <v>872</v>
      </c>
      <c r="D557" s="584" t="s">
        <v>1549</v>
      </c>
      <c r="E557" s="584" t="s">
        <v>100</v>
      </c>
      <c r="F557" s="608">
        <v>0</v>
      </c>
      <c r="G557" s="103"/>
      <c r="H557" s="103"/>
      <c r="I557" s="103"/>
    </row>
    <row r="558" spans="1:9" ht="15">
      <c r="A558" s="583" t="s">
        <v>1298</v>
      </c>
      <c r="B558" s="584" t="s">
        <v>1299</v>
      </c>
      <c r="C558" s="584" t="s">
        <v>872</v>
      </c>
      <c r="D558" s="584" t="s">
        <v>1549</v>
      </c>
      <c r="E558" s="584" t="s">
        <v>100</v>
      </c>
      <c r="F558" s="608">
        <v>5607</v>
      </c>
      <c r="G558" s="103"/>
      <c r="H558" s="103"/>
      <c r="I558" s="103">
        <v>6</v>
      </c>
    </row>
    <row r="559" spans="1:9" ht="15">
      <c r="A559" s="583" t="s">
        <v>1300</v>
      </c>
      <c r="B559" s="584" t="s">
        <v>1301</v>
      </c>
      <c r="C559" s="584" t="s">
        <v>872</v>
      </c>
      <c r="D559" s="584" t="s">
        <v>1549</v>
      </c>
      <c r="E559" s="584" t="s">
        <v>100</v>
      </c>
      <c r="F559" s="608">
        <v>0</v>
      </c>
      <c r="G559" s="103"/>
      <c r="H559" s="103"/>
      <c r="I559" s="103"/>
    </row>
    <row r="560" spans="1:9" ht="15">
      <c r="A560" s="583" t="s">
        <v>1302</v>
      </c>
      <c r="B560" s="584" t="s">
        <v>1303</v>
      </c>
      <c r="C560" s="584" t="s">
        <v>872</v>
      </c>
      <c r="D560" s="584" t="s">
        <v>1549</v>
      </c>
      <c r="E560" s="584" t="s">
        <v>100</v>
      </c>
      <c r="F560" s="608">
        <v>160383.76999999999</v>
      </c>
      <c r="G560" s="103"/>
      <c r="H560" s="103"/>
      <c r="I560" s="103">
        <v>160</v>
      </c>
    </row>
    <row r="561" spans="1:9" ht="15">
      <c r="A561" s="583" t="s">
        <v>1304</v>
      </c>
      <c r="B561" s="584" t="s">
        <v>664</v>
      </c>
      <c r="C561" s="584" t="s">
        <v>872</v>
      </c>
      <c r="D561" s="584" t="s">
        <v>1549</v>
      </c>
      <c r="E561" s="584" t="s">
        <v>100</v>
      </c>
      <c r="F561" s="608">
        <v>104697.28</v>
      </c>
      <c r="G561" s="103"/>
      <c r="H561" s="103"/>
      <c r="I561" s="103">
        <v>105</v>
      </c>
    </row>
    <row r="562" spans="1:9" ht="15">
      <c r="A562" s="583" t="s">
        <v>1305</v>
      </c>
      <c r="B562" s="584" t="s">
        <v>1306</v>
      </c>
      <c r="C562" s="584" t="s">
        <v>872</v>
      </c>
      <c r="D562" s="584" t="s">
        <v>1549</v>
      </c>
      <c r="E562" s="584" t="s">
        <v>100</v>
      </c>
      <c r="F562" s="608">
        <v>83440.179999999993</v>
      </c>
      <c r="G562" s="103"/>
      <c r="H562" s="103"/>
      <c r="I562" s="103">
        <v>83</v>
      </c>
    </row>
    <row r="563" spans="1:9" ht="15">
      <c r="A563" s="583" t="s">
        <v>1307</v>
      </c>
      <c r="B563" s="584" t="s">
        <v>1628</v>
      </c>
      <c r="C563" s="584" t="s">
        <v>872</v>
      </c>
      <c r="D563" s="584" t="s">
        <v>1549</v>
      </c>
      <c r="E563" s="584" t="s">
        <v>100</v>
      </c>
      <c r="F563" s="608">
        <v>6882.24</v>
      </c>
      <c r="G563" s="103"/>
      <c r="H563" s="103"/>
      <c r="I563" s="103">
        <v>7</v>
      </c>
    </row>
    <row r="564" spans="1:9" ht="15">
      <c r="A564" s="583" t="s">
        <v>1309</v>
      </c>
      <c r="B564" s="584" t="s">
        <v>1310</v>
      </c>
      <c r="C564" s="584" t="s">
        <v>872</v>
      </c>
      <c r="D564" s="584" t="s">
        <v>1549</v>
      </c>
      <c r="E564" s="584" t="s">
        <v>100</v>
      </c>
      <c r="F564" s="608">
        <v>35938.49</v>
      </c>
      <c r="G564" s="103"/>
      <c r="H564" s="103"/>
      <c r="I564" s="103">
        <v>36</v>
      </c>
    </row>
    <row r="565" spans="1:9" ht="15">
      <c r="A565" s="583" t="s">
        <v>1311</v>
      </c>
      <c r="B565" s="584" t="s">
        <v>1312</v>
      </c>
      <c r="C565" s="584" t="s">
        <v>872</v>
      </c>
      <c r="D565" s="584" t="s">
        <v>1549</v>
      </c>
      <c r="E565" s="584" t="s">
        <v>100</v>
      </c>
      <c r="F565" s="608">
        <v>449</v>
      </c>
      <c r="G565" s="103"/>
      <c r="H565" s="103"/>
      <c r="I565" s="103">
        <v>0</v>
      </c>
    </row>
    <row r="566" spans="1:9" ht="15">
      <c r="A566" s="583" t="s">
        <v>1313</v>
      </c>
      <c r="B566" s="584" t="s">
        <v>1314</v>
      </c>
      <c r="C566" s="584" t="s">
        <v>872</v>
      </c>
      <c r="D566" s="584" t="s">
        <v>1549</v>
      </c>
      <c r="E566" s="584" t="s">
        <v>100</v>
      </c>
      <c r="F566" s="608">
        <v>3664.67</v>
      </c>
      <c r="G566" s="103"/>
      <c r="H566" s="103"/>
      <c r="I566" s="103">
        <v>4</v>
      </c>
    </row>
    <row r="567" spans="1:9" ht="15">
      <c r="A567" s="583" t="s">
        <v>1315</v>
      </c>
      <c r="B567" s="584" t="s">
        <v>1316</v>
      </c>
      <c r="C567" s="584" t="s">
        <v>872</v>
      </c>
      <c r="D567" s="584" t="s">
        <v>1549</v>
      </c>
      <c r="E567" s="584" t="s">
        <v>100</v>
      </c>
      <c r="F567" s="608">
        <v>0</v>
      </c>
      <c r="G567" s="103"/>
      <c r="H567" s="103"/>
      <c r="I567" s="103"/>
    </row>
    <row r="568" spans="1:9" ht="15">
      <c r="A568" s="583" t="s">
        <v>1317</v>
      </c>
      <c r="B568" s="584" t="s">
        <v>1318</v>
      </c>
      <c r="C568" s="584" t="s">
        <v>872</v>
      </c>
      <c r="D568" s="584" t="s">
        <v>1549</v>
      </c>
      <c r="E568" s="584" t="s">
        <v>100</v>
      </c>
      <c r="F568" s="608">
        <v>0</v>
      </c>
      <c r="G568" s="103"/>
      <c r="H568" s="103"/>
      <c r="I568" s="103"/>
    </row>
    <row r="569" spans="1:9" ht="15">
      <c r="A569" s="583" t="s">
        <v>1319</v>
      </c>
      <c r="B569" s="584" t="s">
        <v>1320</v>
      </c>
      <c r="C569" s="584" t="s">
        <v>872</v>
      </c>
      <c r="D569" s="584" t="s">
        <v>1550</v>
      </c>
      <c r="E569" s="584" t="s">
        <v>1321</v>
      </c>
      <c r="F569" s="608">
        <v>1376186.62</v>
      </c>
      <c r="G569" s="103"/>
      <c r="H569" s="103"/>
      <c r="I569" s="103"/>
    </row>
    <row r="570" spans="1:9" ht="15">
      <c r="A570" s="583" t="s">
        <v>1322</v>
      </c>
      <c r="B570" s="584" t="s">
        <v>1323</v>
      </c>
      <c r="C570" s="584" t="s">
        <v>872</v>
      </c>
      <c r="D570" s="584" t="s">
        <v>1548</v>
      </c>
      <c r="E570" s="584" t="s">
        <v>100</v>
      </c>
      <c r="F570" s="608">
        <v>0</v>
      </c>
      <c r="G570" s="103"/>
      <c r="H570" s="103"/>
      <c r="I570" s="103"/>
    </row>
    <row r="571" spans="1:9" ht="15">
      <c r="A571" s="583" t="s">
        <v>1324</v>
      </c>
      <c r="B571" s="584" t="s">
        <v>1325</v>
      </c>
      <c r="C571" s="584" t="s">
        <v>872</v>
      </c>
      <c r="D571" s="584" t="s">
        <v>1549</v>
      </c>
      <c r="E571" s="584" t="s">
        <v>100</v>
      </c>
      <c r="F571" s="608">
        <v>86886.51</v>
      </c>
      <c r="G571" s="103"/>
      <c r="H571" s="103"/>
      <c r="I571" s="103">
        <v>87</v>
      </c>
    </row>
    <row r="572" spans="1:9" ht="15">
      <c r="A572" s="583" t="s">
        <v>1326</v>
      </c>
      <c r="B572" s="584" t="s">
        <v>1327</v>
      </c>
      <c r="C572" s="584" t="s">
        <v>872</v>
      </c>
      <c r="D572" s="584" t="s">
        <v>1549</v>
      </c>
      <c r="E572" s="584" t="s">
        <v>100</v>
      </c>
      <c r="F572" s="608">
        <v>0</v>
      </c>
      <c r="G572" s="103"/>
      <c r="H572" s="103"/>
      <c r="I572" s="103"/>
    </row>
    <row r="573" spans="1:9" ht="15">
      <c r="A573" s="583" t="s">
        <v>1328</v>
      </c>
      <c r="B573" s="584" t="s">
        <v>1329</v>
      </c>
      <c r="C573" s="584" t="s">
        <v>872</v>
      </c>
      <c r="D573" s="584" t="s">
        <v>1549</v>
      </c>
      <c r="E573" s="584" t="s">
        <v>100</v>
      </c>
      <c r="F573" s="608">
        <v>0</v>
      </c>
      <c r="G573" s="103"/>
      <c r="H573" s="103"/>
      <c r="I573" s="103"/>
    </row>
    <row r="574" spans="1:9" ht="15">
      <c r="A574" s="583" t="s">
        <v>1330</v>
      </c>
      <c r="B574" s="584" t="s">
        <v>1331</v>
      </c>
      <c r="C574" s="584" t="s">
        <v>872</v>
      </c>
      <c r="D574" s="584" t="s">
        <v>1549</v>
      </c>
      <c r="E574" s="584" t="s">
        <v>100</v>
      </c>
      <c r="F574" s="608">
        <v>1027.75</v>
      </c>
      <c r="G574" s="103"/>
      <c r="H574" s="103"/>
      <c r="I574" s="103">
        <v>1</v>
      </c>
    </row>
    <row r="575" spans="1:9" ht="15">
      <c r="A575" s="583" t="s">
        <v>1332</v>
      </c>
      <c r="B575" s="584" t="s">
        <v>1333</v>
      </c>
      <c r="C575" s="584" t="s">
        <v>872</v>
      </c>
      <c r="D575" s="584" t="s">
        <v>1550</v>
      </c>
      <c r="E575" s="584" t="s">
        <v>1334</v>
      </c>
      <c r="F575" s="608">
        <v>87914.26</v>
      </c>
      <c r="G575" s="103"/>
      <c r="H575" s="103"/>
      <c r="I575" s="103"/>
    </row>
    <row r="576" spans="1:9" ht="15">
      <c r="A576" s="583" t="s">
        <v>1335</v>
      </c>
      <c r="B576" s="584" t="s">
        <v>1336</v>
      </c>
      <c r="C576" s="584" t="s">
        <v>872</v>
      </c>
      <c r="D576" s="584" t="s">
        <v>1548</v>
      </c>
      <c r="E576" s="584" t="s">
        <v>100</v>
      </c>
      <c r="F576" s="608">
        <v>0</v>
      </c>
      <c r="G576" s="103"/>
      <c r="H576" s="103"/>
      <c r="I576" s="103"/>
    </row>
    <row r="577" spans="1:9" ht="15">
      <c r="A577" s="583" t="s">
        <v>1337</v>
      </c>
      <c r="B577" s="584" t="s">
        <v>1338</v>
      </c>
      <c r="C577" s="584" t="s">
        <v>872</v>
      </c>
      <c r="D577" s="584" t="s">
        <v>1549</v>
      </c>
      <c r="E577" s="584" t="s">
        <v>100</v>
      </c>
      <c r="F577" s="608">
        <v>0</v>
      </c>
      <c r="G577" s="103"/>
      <c r="H577" s="103"/>
      <c r="I577" s="103"/>
    </row>
    <row r="578" spans="1:9" ht="15">
      <c r="A578" s="583" t="s">
        <v>1339</v>
      </c>
      <c r="B578" s="584" t="s">
        <v>1340</v>
      </c>
      <c r="C578" s="584" t="s">
        <v>872</v>
      </c>
      <c r="D578" s="584" t="s">
        <v>1549</v>
      </c>
      <c r="E578" s="584" t="s">
        <v>100</v>
      </c>
      <c r="F578" s="608">
        <v>136857.70000000001</v>
      </c>
      <c r="G578" s="103"/>
      <c r="H578" s="103"/>
      <c r="I578" s="103">
        <v>137</v>
      </c>
    </row>
    <row r="579" spans="1:9" ht="15">
      <c r="A579" s="583" t="s">
        <v>1341</v>
      </c>
      <c r="B579" s="584" t="s">
        <v>1342</v>
      </c>
      <c r="C579" s="584" t="s">
        <v>872</v>
      </c>
      <c r="D579" s="584" t="s">
        <v>1549</v>
      </c>
      <c r="E579" s="584" t="s">
        <v>100</v>
      </c>
      <c r="F579" s="608">
        <v>158400</v>
      </c>
      <c r="G579" s="103"/>
      <c r="H579" s="103"/>
      <c r="I579" s="103">
        <v>158</v>
      </c>
    </row>
    <row r="580" spans="1:9" ht="15">
      <c r="A580" s="583" t="s">
        <v>1343</v>
      </c>
      <c r="B580" s="584" t="s">
        <v>1344</v>
      </c>
      <c r="C580" s="584" t="s">
        <v>872</v>
      </c>
      <c r="D580" s="584" t="s">
        <v>1549</v>
      </c>
      <c r="E580" s="584" t="s">
        <v>100</v>
      </c>
      <c r="F580" s="608">
        <v>0</v>
      </c>
      <c r="G580" s="103"/>
      <c r="H580" s="103"/>
      <c r="I580" s="103"/>
    </row>
    <row r="581" spans="1:9" ht="15">
      <c r="A581" s="583" t="s">
        <v>1345</v>
      </c>
      <c r="B581" s="584" t="s">
        <v>1346</v>
      </c>
      <c r="C581" s="584" t="s">
        <v>872</v>
      </c>
      <c r="D581" s="584" t="s">
        <v>1549</v>
      </c>
      <c r="E581" s="584" t="s">
        <v>100</v>
      </c>
      <c r="F581" s="608">
        <v>0</v>
      </c>
      <c r="G581" s="103"/>
      <c r="H581" s="103"/>
      <c r="I581" s="103"/>
    </row>
    <row r="582" spans="1:9" ht="15">
      <c r="A582" s="583" t="s">
        <v>1347</v>
      </c>
      <c r="B582" s="584" t="s">
        <v>1348</v>
      </c>
      <c r="C582" s="584" t="s">
        <v>872</v>
      </c>
      <c r="D582" s="584" t="s">
        <v>1549</v>
      </c>
      <c r="E582" s="584" t="s">
        <v>100</v>
      </c>
      <c r="F582" s="608">
        <v>0</v>
      </c>
      <c r="G582" s="103"/>
      <c r="H582" s="103"/>
      <c r="I582" s="103"/>
    </row>
    <row r="583" spans="1:9" ht="15">
      <c r="A583" s="583" t="s">
        <v>1349</v>
      </c>
      <c r="B583" s="584" t="s">
        <v>1350</v>
      </c>
      <c r="C583" s="584" t="s">
        <v>872</v>
      </c>
      <c r="D583" s="584" t="s">
        <v>1549</v>
      </c>
      <c r="E583" s="584" t="s">
        <v>100</v>
      </c>
      <c r="F583" s="608">
        <v>9580</v>
      </c>
      <c r="G583" s="103"/>
      <c r="H583" s="103"/>
      <c r="I583" s="103">
        <v>10</v>
      </c>
    </row>
    <row r="584" spans="1:9" ht="15">
      <c r="A584" s="583" t="s">
        <v>1351</v>
      </c>
      <c r="B584" s="584" t="s">
        <v>1352</v>
      </c>
      <c r="C584" s="584" t="s">
        <v>872</v>
      </c>
      <c r="D584" s="584" t="s">
        <v>1549</v>
      </c>
      <c r="E584" s="584" t="s">
        <v>100</v>
      </c>
      <c r="F584" s="608">
        <v>0</v>
      </c>
      <c r="G584" s="103"/>
      <c r="H584" s="103"/>
      <c r="I584" s="103"/>
    </row>
    <row r="585" spans="1:9" ht="15">
      <c r="A585" s="583" t="s">
        <v>1353</v>
      </c>
      <c r="B585" s="584" t="s">
        <v>1354</v>
      </c>
      <c r="C585" s="584" t="s">
        <v>872</v>
      </c>
      <c r="D585" s="584" t="s">
        <v>1549</v>
      </c>
      <c r="E585" s="584" t="s">
        <v>100</v>
      </c>
      <c r="F585" s="608">
        <v>0</v>
      </c>
      <c r="G585" s="103"/>
      <c r="H585" s="103"/>
      <c r="I585" s="103"/>
    </row>
    <row r="586" spans="1:9" ht="15">
      <c r="A586" s="583" t="s">
        <v>1355</v>
      </c>
      <c r="B586" s="584" t="s">
        <v>1356</v>
      </c>
      <c r="C586" s="584" t="s">
        <v>872</v>
      </c>
      <c r="D586" s="584" t="s">
        <v>1549</v>
      </c>
      <c r="E586" s="584" t="s">
        <v>100</v>
      </c>
      <c r="F586" s="608">
        <v>0</v>
      </c>
      <c r="G586" s="103"/>
      <c r="H586" s="103"/>
      <c r="I586" s="103"/>
    </row>
    <row r="587" spans="1:9" ht="15">
      <c r="A587" s="583" t="s">
        <v>1357</v>
      </c>
      <c r="B587" s="584" t="s">
        <v>1358</v>
      </c>
      <c r="C587" s="584" t="s">
        <v>872</v>
      </c>
      <c r="D587" s="584" t="s">
        <v>1549</v>
      </c>
      <c r="E587" s="584" t="s">
        <v>100</v>
      </c>
      <c r="F587" s="608">
        <v>0</v>
      </c>
      <c r="G587" s="103"/>
      <c r="H587" s="103"/>
      <c r="I587" s="103"/>
    </row>
    <row r="588" spans="1:9" ht="15">
      <c r="A588" s="583" t="s">
        <v>1359</v>
      </c>
      <c r="B588" s="584" t="s">
        <v>1360</v>
      </c>
      <c r="C588" s="584" t="s">
        <v>872</v>
      </c>
      <c r="D588" s="584" t="s">
        <v>1549</v>
      </c>
      <c r="E588" s="584" t="s">
        <v>100</v>
      </c>
      <c r="F588" s="608">
        <v>0</v>
      </c>
      <c r="G588" s="103"/>
      <c r="H588" s="103"/>
      <c r="I588" s="103"/>
    </row>
    <row r="589" spans="1:9" ht="15">
      <c r="A589" s="583" t="s">
        <v>1361</v>
      </c>
      <c r="B589" s="584" t="s">
        <v>1362</v>
      </c>
      <c r="C589" s="584" t="s">
        <v>872</v>
      </c>
      <c r="D589" s="584" t="s">
        <v>1549</v>
      </c>
      <c r="E589" s="584" t="s">
        <v>100</v>
      </c>
      <c r="F589" s="608">
        <v>16754.41</v>
      </c>
      <c r="G589" s="103"/>
      <c r="H589" s="103"/>
      <c r="I589" s="103">
        <v>17</v>
      </c>
    </row>
    <row r="590" spans="1:9" ht="15">
      <c r="A590" s="583" t="s">
        <v>1363</v>
      </c>
      <c r="B590" s="584" t="s">
        <v>1364</v>
      </c>
      <c r="C590" s="584" t="s">
        <v>872</v>
      </c>
      <c r="D590" s="584" t="s">
        <v>1549</v>
      </c>
      <c r="E590" s="584" t="s">
        <v>100</v>
      </c>
      <c r="F590" s="608">
        <v>0</v>
      </c>
      <c r="G590" s="103"/>
      <c r="H590" s="103"/>
      <c r="I590" s="103"/>
    </row>
    <row r="591" spans="1:9" ht="15">
      <c r="A591" s="583" t="s">
        <v>1365</v>
      </c>
      <c r="B591" s="584" t="s">
        <v>1366</v>
      </c>
      <c r="C591" s="584" t="s">
        <v>872</v>
      </c>
      <c r="D591" s="584" t="s">
        <v>1549</v>
      </c>
      <c r="E591" s="584" t="s">
        <v>100</v>
      </c>
      <c r="F591" s="608">
        <v>0</v>
      </c>
      <c r="G591" s="103"/>
      <c r="H591" s="103"/>
      <c r="I591" s="103"/>
    </row>
    <row r="592" spans="1:9" ht="15">
      <c r="A592" s="583" t="s">
        <v>1367</v>
      </c>
      <c r="B592" s="584" t="s">
        <v>495</v>
      </c>
      <c r="C592" s="584" t="s">
        <v>872</v>
      </c>
      <c r="D592" s="584" t="s">
        <v>1549</v>
      </c>
      <c r="E592" s="584" t="s">
        <v>100</v>
      </c>
      <c r="F592" s="608">
        <v>0</v>
      </c>
      <c r="G592" s="103"/>
      <c r="H592" s="103"/>
      <c r="I592" s="103"/>
    </row>
    <row r="593" spans="1:10" ht="15">
      <c r="A593" s="583" t="s">
        <v>1368</v>
      </c>
      <c r="B593" s="584" t="s">
        <v>1369</v>
      </c>
      <c r="C593" s="584" t="s">
        <v>872</v>
      </c>
      <c r="D593" s="584" t="s">
        <v>1549</v>
      </c>
      <c r="E593" s="584" t="s">
        <v>100</v>
      </c>
      <c r="F593" s="608">
        <v>0</v>
      </c>
      <c r="G593" s="103"/>
      <c r="H593" s="103"/>
      <c r="I593" s="103"/>
    </row>
    <row r="594" spans="1:10" ht="15">
      <c r="A594" s="583" t="s">
        <v>1370</v>
      </c>
      <c r="B594" s="584" t="s">
        <v>1301</v>
      </c>
      <c r="C594" s="584" t="s">
        <v>872</v>
      </c>
      <c r="D594" s="584" t="s">
        <v>1549</v>
      </c>
      <c r="E594" s="584" t="s">
        <v>100</v>
      </c>
      <c r="F594" s="608">
        <v>0</v>
      </c>
      <c r="G594" s="103"/>
      <c r="H594" s="103"/>
      <c r="I594" s="103"/>
    </row>
    <row r="595" spans="1:10" ht="15">
      <c r="A595" s="583" t="s">
        <v>1371</v>
      </c>
      <c r="B595" s="584" t="s">
        <v>1372</v>
      </c>
      <c r="C595" s="584" t="s">
        <v>872</v>
      </c>
      <c r="D595" s="584" t="s">
        <v>1549</v>
      </c>
      <c r="E595" s="584" t="s">
        <v>100</v>
      </c>
      <c r="F595" s="608">
        <v>9275.66</v>
      </c>
      <c r="G595" s="103"/>
      <c r="H595" s="103"/>
      <c r="I595" s="103">
        <v>10</v>
      </c>
    </row>
    <row r="596" spans="1:10" ht="15">
      <c r="A596" s="583" t="s">
        <v>1373</v>
      </c>
      <c r="B596" s="584" t="s">
        <v>1374</v>
      </c>
      <c r="C596" s="584" t="s">
        <v>872</v>
      </c>
      <c r="D596" s="584" t="s">
        <v>1550</v>
      </c>
      <c r="E596" s="584" t="s">
        <v>1375</v>
      </c>
      <c r="F596" s="608">
        <v>330867.77</v>
      </c>
      <c r="G596" s="103"/>
      <c r="H596" s="103"/>
      <c r="I596" s="103"/>
    </row>
    <row r="597" spans="1:10" ht="15">
      <c r="A597" s="583" t="s">
        <v>1376</v>
      </c>
      <c r="B597" s="584" t="s">
        <v>1377</v>
      </c>
      <c r="C597" s="584" t="s">
        <v>872</v>
      </c>
      <c r="D597" s="584" t="s">
        <v>1548</v>
      </c>
      <c r="E597" s="584" t="s">
        <v>100</v>
      </c>
      <c r="F597" s="608">
        <v>0</v>
      </c>
      <c r="G597" s="103"/>
      <c r="H597" s="103"/>
      <c r="I597" s="103"/>
    </row>
    <row r="598" spans="1:10" ht="15">
      <c r="A598" s="583" t="s">
        <v>1378</v>
      </c>
      <c r="B598" s="584" t="s">
        <v>1379</v>
      </c>
      <c r="C598" s="584" t="s">
        <v>872</v>
      </c>
      <c r="D598" s="584" t="s">
        <v>1549</v>
      </c>
      <c r="E598" s="584" t="s">
        <v>100</v>
      </c>
      <c r="F598" s="608">
        <v>0</v>
      </c>
      <c r="G598" s="103"/>
      <c r="H598" s="103"/>
      <c r="I598" s="103"/>
    </row>
    <row r="599" spans="1:10" ht="15">
      <c r="A599" s="583" t="s">
        <v>1380</v>
      </c>
      <c r="B599" s="584" t="s">
        <v>1381</v>
      </c>
      <c r="C599" s="584" t="s">
        <v>872</v>
      </c>
      <c r="D599" s="584" t="s">
        <v>1550</v>
      </c>
      <c r="E599" s="584" t="s">
        <v>1382</v>
      </c>
      <c r="F599" s="608">
        <v>0</v>
      </c>
      <c r="G599" s="103"/>
      <c r="H599" s="103"/>
      <c r="I599" s="103"/>
    </row>
    <row r="600" spans="1:10" ht="15">
      <c r="A600" s="583" t="s">
        <v>1383</v>
      </c>
      <c r="B600" s="584" t="s">
        <v>1384</v>
      </c>
      <c r="C600" s="584" t="s">
        <v>872</v>
      </c>
      <c r="D600" s="584" t="s">
        <v>1548</v>
      </c>
      <c r="E600" s="584" t="s">
        <v>100</v>
      </c>
      <c r="F600" s="608">
        <v>0</v>
      </c>
      <c r="G600" s="103"/>
      <c r="H600" s="103"/>
      <c r="I600" s="103"/>
    </row>
    <row r="601" spans="1:10" ht="15">
      <c r="A601" s="583" t="s">
        <v>1385</v>
      </c>
      <c r="B601" s="584" t="s">
        <v>1386</v>
      </c>
      <c r="C601" s="584" t="s">
        <v>872</v>
      </c>
      <c r="D601" s="584" t="s">
        <v>1549</v>
      </c>
      <c r="E601" s="584" t="s">
        <v>100</v>
      </c>
      <c r="F601" s="608">
        <v>0</v>
      </c>
      <c r="G601" s="103"/>
      <c r="H601" s="103"/>
      <c r="I601" s="103"/>
    </row>
    <row r="602" spans="1:10" ht="15">
      <c r="A602" s="583" t="s">
        <v>1387</v>
      </c>
      <c r="B602" s="584" t="s">
        <v>1388</v>
      </c>
      <c r="C602" s="584" t="s">
        <v>872</v>
      </c>
      <c r="D602" s="584" t="s">
        <v>1549</v>
      </c>
      <c r="E602" s="584" t="s">
        <v>100</v>
      </c>
      <c r="F602" s="608">
        <v>0</v>
      </c>
      <c r="G602" s="103"/>
      <c r="H602" s="103"/>
      <c r="I602" s="103"/>
    </row>
    <row r="603" spans="1:10" ht="15">
      <c r="A603" s="583" t="s">
        <v>1389</v>
      </c>
      <c r="B603" s="584" t="s">
        <v>1390</v>
      </c>
      <c r="C603" s="584" t="s">
        <v>872</v>
      </c>
      <c r="D603" s="584" t="s">
        <v>1549</v>
      </c>
      <c r="E603" s="584" t="s">
        <v>100</v>
      </c>
      <c r="F603" s="608">
        <v>0</v>
      </c>
      <c r="G603" s="103"/>
      <c r="H603" s="103"/>
      <c r="I603" s="103"/>
    </row>
    <row r="604" spans="1:10" ht="15">
      <c r="A604" s="583" t="s">
        <v>1391</v>
      </c>
      <c r="B604" s="584" t="s">
        <v>1392</v>
      </c>
      <c r="C604" s="584" t="s">
        <v>872</v>
      </c>
      <c r="D604" s="584" t="s">
        <v>1550</v>
      </c>
      <c r="E604" s="584" t="s">
        <v>1393</v>
      </c>
      <c r="F604" s="608">
        <v>0</v>
      </c>
      <c r="G604" s="103"/>
      <c r="H604" s="103"/>
      <c r="I604" s="103"/>
    </row>
    <row r="605" spans="1:10" ht="15">
      <c r="A605" s="583" t="s">
        <v>1394</v>
      </c>
      <c r="B605" s="584" t="s">
        <v>1152</v>
      </c>
      <c r="C605" s="584" t="s">
        <v>872</v>
      </c>
      <c r="D605" s="584" t="s">
        <v>1550</v>
      </c>
      <c r="E605" s="584" t="s">
        <v>1395</v>
      </c>
      <c r="F605" s="608">
        <v>1794968.65</v>
      </c>
      <c r="G605" s="103"/>
      <c r="H605" s="103"/>
      <c r="I605" s="103"/>
    </row>
    <row r="606" spans="1:10" ht="15">
      <c r="A606" s="583" t="s">
        <v>1396</v>
      </c>
      <c r="B606" s="584" t="s">
        <v>1397</v>
      </c>
      <c r="C606" s="584" t="s">
        <v>872</v>
      </c>
      <c r="D606" s="584" t="s">
        <v>1550</v>
      </c>
      <c r="E606" s="584" t="s">
        <v>1398</v>
      </c>
      <c r="F606" s="608">
        <v>1667068.65</v>
      </c>
      <c r="G606" s="103"/>
      <c r="H606" s="103"/>
      <c r="I606" s="103"/>
      <c r="J606" s="3">
        <f>SUM(I533:I606)</f>
        <v>1668</v>
      </c>
    </row>
    <row r="607" spans="1:10" ht="15">
      <c r="A607" s="583" t="s">
        <v>1399</v>
      </c>
      <c r="B607" s="584" t="s">
        <v>1400</v>
      </c>
      <c r="C607" s="584" t="s">
        <v>872</v>
      </c>
      <c r="D607" s="584" t="s">
        <v>1548</v>
      </c>
      <c r="E607" s="584" t="s">
        <v>100</v>
      </c>
      <c r="F607" s="608">
        <v>0</v>
      </c>
      <c r="G607" s="103"/>
      <c r="H607" s="103"/>
      <c r="I607" s="103"/>
    </row>
    <row r="608" spans="1:10" ht="15">
      <c r="A608" s="583" t="s">
        <v>1401</v>
      </c>
      <c r="B608" s="584" t="s">
        <v>1402</v>
      </c>
      <c r="C608" s="584" t="s">
        <v>872</v>
      </c>
      <c r="D608" s="584" t="s">
        <v>1549</v>
      </c>
      <c r="E608" s="584" t="s">
        <v>100</v>
      </c>
      <c r="F608" s="608">
        <v>0</v>
      </c>
      <c r="G608" s="103"/>
      <c r="H608" s="103"/>
      <c r="I608" s="103"/>
    </row>
    <row r="609" spans="1:9" ht="15">
      <c r="A609" s="583" t="s">
        <v>1403</v>
      </c>
      <c r="B609" s="584" t="s">
        <v>1404</v>
      </c>
      <c r="C609" s="584" t="s">
        <v>872</v>
      </c>
      <c r="D609" s="584" t="s">
        <v>1549</v>
      </c>
      <c r="E609" s="584" t="s">
        <v>100</v>
      </c>
      <c r="F609" s="608">
        <v>0</v>
      </c>
      <c r="G609" s="103"/>
      <c r="H609" s="103"/>
      <c r="I609" s="103"/>
    </row>
    <row r="610" spans="1:9" ht="15">
      <c r="A610" s="583" t="s">
        <v>1405</v>
      </c>
      <c r="B610" s="584" t="s">
        <v>1406</v>
      </c>
      <c r="C610" s="584" t="s">
        <v>872</v>
      </c>
      <c r="D610" s="584" t="s">
        <v>1549</v>
      </c>
      <c r="E610" s="584" t="s">
        <v>100</v>
      </c>
      <c r="F610" s="608">
        <v>-17828.8</v>
      </c>
      <c r="G610" s="103"/>
      <c r="H610" s="103"/>
      <c r="I610" s="103">
        <v>-18</v>
      </c>
    </row>
    <row r="611" spans="1:9" ht="15">
      <c r="A611" s="583" t="s">
        <v>1407</v>
      </c>
      <c r="B611" s="584" t="s">
        <v>1408</v>
      </c>
      <c r="C611" s="584" t="s">
        <v>872</v>
      </c>
      <c r="D611" s="584" t="s">
        <v>1550</v>
      </c>
      <c r="E611" s="584" t="s">
        <v>1409</v>
      </c>
      <c r="F611" s="608">
        <v>-17828.8</v>
      </c>
      <c r="G611" s="103"/>
      <c r="H611" s="103"/>
      <c r="I611" s="103"/>
    </row>
    <row r="612" spans="1:9" ht="15">
      <c r="A612" s="583" t="s">
        <v>1410</v>
      </c>
      <c r="B612" s="584" t="s">
        <v>1411</v>
      </c>
      <c r="C612" s="584" t="s">
        <v>872</v>
      </c>
      <c r="D612" s="584" t="s">
        <v>1548</v>
      </c>
      <c r="E612" s="584" t="s">
        <v>100</v>
      </c>
      <c r="F612" s="608">
        <v>0</v>
      </c>
      <c r="G612" s="103"/>
      <c r="H612" s="103"/>
      <c r="I612" s="103"/>
    </row>
    <row r="613" spans="1:9" ht="15">
      <c r="A613" s="583" t="s">
        <v>1412</v>
      </c>
      <c r="B613" s="584" t="s">
        <v>1413</v>
      </c>
      <c r="C613" s="584" t="s">
        <v>872</v>
      </c>
      <c r="D613" s="584" t="s">
        <v>1549</v>
      </c>
      <c r="E613" s="584" t="s">
        <v>100</v>
      </c>
      <c r="F613" s="608">
        <v>0</v>
      </c>
      <c r="G613" s="103"/>
      <c r="H613" s="103"/>
      <c r="I613" s="103"/>
    </row>
    <row r="614" spans="1:9" ht="15">
      <c r="A614" s="583" t="s">
        <v>1414</v>
      </c>
      <c r="B614" s="584" t="s">
        <v>1415</v>
      </c>
      <c r="C614" s="584" t="s">
        <v>872</v>
      </c>
      <c r="D614" s="584" t="s">
        <v>1549</v>
      </c>
      <c r="E614" s="584" t="s">
        <v>100</v>
      </c>
      <c r="F614" s="608">
        <v>0</v>
      </c>
      <c r="G614" s="103"/>
      <c r="H614" s="103"/>
      <c r="I614" s="103"/>
    </row>
    <row r="615" spans="1:9" ht="15">
      <c r="A615" s="583" t="s">
        <v>1416</v>
      </c>
      <c r="B615" s="584" t="s">
        <v>1417</v>
      </c>
      <c r="C615" s="584" t="s">
        <v>872</v>
      </c>
      <c r="D615" s="584" t="s">
        <v>1549</v>
      </c>
      <c r="E615" s="584" t="s">
        <v>100</v>
      </c>
      <c r="F615" s="608">
        <v>1042.19</v>
      </c>
      <c r="G615" s="103"/>
      <c r="H615" s="103"/>
      <c r="I615" s="103">
        <v>0</v>
      </c>
    </row>
    <row r="616" spans="1:9" ht="15">
      <c r="A616" s="583" t="s">
        <v>1418</v>
      </c>
      <c r="B616" s="584" t="s">
        <v>515</v>
      </c>
      <c r="C616" s="584" t="s">
        <v>872</v>
      </c>
      <c r="D616" s="584" t="s">
        <v>1549</v>
      </c>
      <c r="E616" s="584" t="s">
        <v>100</v>
      </c>
      <c r="F616" s="608">
        <v>-456990.97</v>
      </c>
      <c r="G616" s="103"/>
      <c r="H616" s="103"/>
      <c r="I616" s="103">
        <v>-457</v>
      </c>
    </row>
    <row r="617" spans="1:9" ht="15">
      <c r="A617" s="583" t="s">
        <v>1629</v>
      </c>
      <c r="B617" s="584" t="s">
        <v>1630</v>
      </c>
      <c r="C617" s="584" t="s">
        <v>872</v>
      </c>
      <c r="D617" s="584" t="s">
        <v>1549</v>
      </c>
      <c r="E617" s="584" t="s">
        <v>100</v>
      </c>
      <c r="F617" s="608">
        <v>-1183559.8400000001</v>
      </c>
      <c r="G617" s="103"/>
      <c r="H617" s="103"/>
      <c r="I617" s="103">
        <v>-1184</v>
      </c>
    </row>
    <row r="618" spans="1:9" ht="15">
      <c r="A618" s="583" t="s">
        <v>1631</v>
      </c>
      <c r="B618" s="584" t="s">
        <v>1632</v>
      </c>
      <c r="C618" s="584" t="s">
        <v>872</v>
      </c>
      <c r="D618" s="584" t="s">
        <v>1549</v>
      </c>
      <c r="E618" s="584" t="s">
        <v>100</v>
      </c>
      <c r="F618" s="608">
        <v>-48978.36</v>
      </c>
      <c r="G618" s="103"/>
      <c r="H618" s="103"/>
      <c r="I618" s="103">
        <v>-49</v>
      </c>
    </row>
    <row r="619" spans="1:9" ht="15">
      <c r="A619" s="583" t="s">
        <v>1419</v>
      </c>
      <c r="B619" s="584" t="s">
        <v>1420</v>
      </c>
      <c r="C619" s="584" t="s">
        <v>872</v>
      </c>
      <c r="D619" s="584" t="s">
        <v>1550</v>
      </c>
      <c r="E619" s="584" t="s">
        <v>1421</v>
      </c>
      <c r="F619" s="608">
        <v>-1688486.98</v>
      </c>
      <c r="G619" s="103"/>
      <c r="H619" s="103"/>
      <c r="I619" s="103"/>
    </row>
    <row r="620" spans="1:9" ht="15">
      <c r="A620" s="583" t="s">
        <v>1422</v>
      </c>
      <c r="B620" s="584" t="s">
        <v>1423</v>
      </c>
      <c r="C620" s="584" t="s">
        <v>872</v>
      </c>
      <c r="D620" s="584" t="s">
        <v>1548</v>
      </c>
      <c r="E620" s="584" t="s">
        <v>100</v>
      </c>
      <c r="F620" s="608">
        <v>0</v>
      </c>
      <c r="G620" s="103"/>
      <c r="H620" s="103"/>
      <c r="I620" s="103"/>
    </row>
    <row r="621" spans="1:9" ht="15">
      <c r="A621" s="583" t="s">
        <v>1424</v>
      </c>
      <c r="B621" s="584" t="s">
        <v>1425</v>
      </c>
      <c r="C621" s="584" t="s">
        <v>872</v>
      </c>
      <c r="D621" s="584" t="s">
        <v>1549</v>
      </c>
      <c r="E621" s="584" t="s">
        <v>100</v>
      </c>
      <c r="F621" s="608">
        <v>-4601.57</v>
      </c>
      <c r="G621" s="103">
        <v>4375</v>
      </c>
      <c r="H621" s="103">
        <v>4</v>
      </c>
      <c r="I621" s="103">
        <v>0</v>
      </c>
    </row>
    <row r="622" spans="1:9" ht="15">
      <c r="A622" s="583" t="s">
        <v>1426</v>
      </c>
      <c r="B622" s="584" t="s">
        <v>1427</v>
      </c>
      <c r="C622" s="584" t="s">
        <v>872</v>
      </c>
      <c r="D622" s="584" t="s">
        <v>1549</v>
      </c>
      <c r="E622" s="584" t="s">
        <v>100</v>
      </c>
      <c r="F622" s="608">
        <v>-23256.62</v>
      </c>
      <c r="G622" s="103">
        <v>2109.4299999999998</v>
      </c>
      <c r="H622" s="103">
        <v>2</v>
      </c>
      <c r="I622" s="103">
        <f>-23+H622</f>
        <v>-21</v>
      </c>
    </row>
    <row r="623" spans="1:9" ht="15">
      <c r="A623" s="583" t="s">
        <v>1428</v>
      </c>
      <c r="B623" s="584" t="s">
        <v>1429</v>
      </c>
      <c r="C623" s="584" t="s">
        <v>872</v>
      </c>
      <c r="D623" s="584" t="s">
        <v>1549</v>
      </c>
      <c r="E623" s="584" t="s">
        <v>100</v>
      </c>
      <c r="F623" s="608">
        <v>-25600.799999999999</v>
      </c>
      <c r="G623" s="103"/>
      <c r="H623" s="103"/>
      <c r="I623" s="103">
        <v>-26</v>
      </c>
    </row>
    <row r="624" spans="1:9" ht="15">
      <c r="A624" s="583" t="s">
        <v>1430</v>
      </c>
      <c r="B624" s="584" t="s">
        <v>1431</v>
      </c>
      <c r="C624" s="584" t="s">
        <v>872</v>
      </c>
      <c r="D624" s="584" t="s">
        <v>1549</v>
      </c>
      <c r="E624" s="584" t="s">
        <v>100</v>
      </c>
      <c r="F624" s="608">
        <v>0</v>
      </c>
      <c r="G624" s="103"/>
      <c r="H624" s="103"/>
      <c r="I624" s="103"/>
    </row>
    <row r="625" spans="1:10" ht="15">
      <c r="A625" s="583" t="s">
        <v>1432</v>
      </c>
      <c r="B625" s="584" t="s">
        <v>1433</v>
      </c>
      <c r="C625" s="584" t="s">
        <v>156</v>
      </c>
      <c r="D625" s="584" t="s">
        <v>1549</v>
      </c>
      <c r="E625" s="584" t="s">
        <v>100</v>
      </c>
      <c r="F625" s="608">
        <v>148843.06</v>
      </c>
      <c r="G625" s="103"/>
      <c r="H625" s="103"/>
      <c r="I625" s="103">
        <v>149</v>
      </c>
    </row>
    <row r="626" spans="1:10" ht="15">
      <c r="A626" s="583" t="s">
        <v>1434</v>
      </c>
      <c r="B626" s="584" t="s">
        <v>1435</v>
      </c>
      <c r="C626" s="584" t="s">
        <v>156</v>
      </c>
      <c r="D626" s="584" t="s">
        <v>1549</v>
      </c>
      <c r="E626" s="584" t="s">
        <v>100</v>
      </c>
      <c r="F626" s="608">
        <v>-148843.06</v>
      </c>
      <c r="G626" s="103"/>
      <c r="H626" s="103"/>
      <c r="I626" s="103">
        <v>-149</v>
      </c>
    </row>
    <row r="627" spans="1:10" ht="15">
      <c r="A627" s="583" t="s">
        <v>1436</v>
      </c>
      <c r="B627" s="584" t="s">
        <v>1437</v>
      </c>
      <c r="C627" s="584" t="s">
        <v>872</v>
      </c>
      <c r="D627" s="584" t="s">
        <v>1549</v>
      </c>
      <c r="E627" s="584" t="s">
        <v>100</v>
      </c>
      <c r="F627" s="608">
        <v>12220</v>
      </c>
      <c r="G627" s="103"/>
      <c r="H627" s="103"/>
      <c r="I627" s="103">
        <v>12</v>
      </c>
    </row>
    <row r="628" spans="1:10" ht="15">
      <c r="A628" s="583" t="s">
        <v>1438</v>
      </c>
      <c r="B628" s="584" t="s">
        <v>1439</v>
      </c>
      <c r="C628" s="584" t="s">
        <v>872</v>
      </c>
      <c r="D628" s="584" t="s">
        <v>1550</v>
      </c>
      <c r="E628" s="584" t="s">
        <v>1440</v>
      </c>
      <c r="F628" s="608">
        <v>-41238.99</v>
      </c>
      <c r="G628" s="103"/>
      <c r="H628" s="103"/>
      <c r="I628" s="103"/>
    </row>
    <row r="629" spans="1:10" ht="15">
      <c r="A629" s="583" t="s">
        <v>1441</v>
      </c>
      <c r="B629" s="584" t="s">
        <v>1442</v>
      </c>
      <c r="C629" s="584" t="s">
        <v>872</v>
      </c>
      <c r="D629" s="584" t="s">
        <v>1550</v>
      </c>
      <c r="E629" s="584" t="s">
        <v>1443</v>
      </c>
      <c r="F629" s="608">
        <v>-2318698.2000000002</v>
      </c>
      <c r="G629" s="3"/>
      <c r="H629" s="3"/>
    </row>
    <row r="630" spans="1:10" ht="15">
      <c r="A630" s="583" t="s">
        <v>1444</v>
      </c>
      <c r="B630" s="584" t="s">
        <v>1445</v>
      </c>
      <c r="C630" s="584" t="s">
        <v>872</v>
      </c>
      <c r="D630" s="584" t="s">
        <v>1550</v>
      </c>
      <c r="E630" s="584" t="s">
        <v>1446</v>
      </c>
      <c r="F630" s="608">
        <v>-68838726.439999998</v>
      </c>
      <c r="G630" s="545">
        <f>SUM(G4:G628)</f>
        <v>15842.450000000008</v>
      </c>
      <c r="H630" s="545">
        <f>SUM(H3:H628)</f>
        <v>3</v>
      </c>
      <c r="I630" s="3">
        <f>SUM(I4:I628)</f>
        <v>3</v>
      </c>
      <c r="J630" s="545">
        <f>SUM(I414:I628)</f>
        <v>-68844</v>
      </c>
    </row>
    <row r="633" spans="1:10">
      <c r="H633" s="3">
        <f>+H621+H378+H361+H335+H316+H242+H210+H200+H198+H47</f>
        <v>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bc14b0b-2e28-45b5-86ff-2f81bb26f27e">
      <UserInfo>
        <DisplayName>Emil Gaarde</DisplayName>
        <AccountId>161</AccountId>
        <AccountType/>
      </UserInfo>
      <UserInfo>
        <DisplayName>Stefan Buntzen-Christensen</DisplayName>
        <AccountId>62</AccountId>
        <AccountType/>
      </UserInfo>
      <UserInfo>
        <DisplayName>Tine Christensen</DisplayName>
        <AccountId>69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4A2891621B0E74E8B330B4C0509CBB2" ma:contentTypeVersion="17" ma:contentTypeDescription="Opret et nyt dokument." ma:contentTypeScope="" ma:versionID="d55443cb68848eac92c1b4551fa29859">
  <xsd:schema xmlns:xsd="http://www.w3.org/2001/XMLSchema" xmlns:xs="http://www.w3.org/2001/XMLSchema" xmlns:p="http://schemas.microsoft.com/office/2006/metadata/properties" xmlns:ns2="4bc14b0b-2e28-45b5-86ff-2f81bb26f27e" xmlns:ns3="59638d38-f80c-412a-90f9-c2a324e62e3b" targetNamespace="http://schemas.microsoft.com/office/2006/metadata/properties" ma:root="true" ma:fieldsID="f68e6b99697da96de6739e216a37412a" ns2:_="" ns3:_="">
    <xsd:import namespace="4bc14b0b-2e28-45b5-86ff-2f81bb26f27e"/>
    <xsd:import namespace="59638d38-f80c-412a-90f9-c2a324e62e3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c14b0b-2e28-45b5-86ff-2f81bb26f2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Hashværdi for deling" ma:internalName="SharingHintHash" ma:readOnly="true">
      <xsd:simpleType>
        <xsd:restriction base="dms:Text"/>
      </xsd:simpleType>
    </xsd:element>
    <xsd:element name="SharedWithDetails" ma:index="10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Sidst delt efter brug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Sidst delt efter tid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638d38-f80c-412a-90f9-c2a324e62e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06A18E-1D39-4664-8B87-E0C489305608}">
  <ds:schemaRefs>
    <ds:schemaRef ds:uri="http://schemas.microsoft.com/office/2006/documentManagement/types"/>
    <ds:schemaRef ds:uri="4bc14b0b-2e28-45b5-86ff-2f81bb26f27e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infopath/2007/PartnerControls"/>
    <ds:schemaRef ds:uri="59638d38-f80c-412a-90f9-c2a324e62e3b"/>
  </ds:schemaRefs>
</ds:datastoreItem>
</file>

<file path=customXml/itemProps2.xml><?xml version="1.0" encoding="utf-8"?>
<ds:datastoreItem xmlns:ds="http://schemas.openxmlformats.org/officeDocument/2006/customXml" ds:itemID="{AA28935E-2C91-4EDA-933C-A24C674401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c14b0b-2e28-45b5-86ff-2f81bb26f27e"/>
    <ds:schemaRef ds:uri="59638d38-f80c-412a-90f9-c2a324e62e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1B78EA-19D6-41BB-BCC2-B158BA04AA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Regneark</vt:lpstr>
      </vt:variant>
      <vt:variant>
        <vt:i4>27</vt:i4>
      </vt:variant>
      <vt:variant>
        <vt:lpstr>Navngivne områder</vt:lpstr>
      </vt:variant>
      <vt:variant>
        <vt:i4>2</vt:i4>
      </vt:variant>
    </vt:vector>
  </HeadingPairs>
  <TitlesOfParts>
    <vt:vector size="29" baseType="lpstr">
      <vt:lpstr>Budget m. LL21</vt:lpstr>
      <vt:lpstr>Ark1</vt:lpstr>
      <vt:lpstr>Budget m. LL22</vt:lpstr>
      <vt:lpstr>Udkast til landsmødeversion</vt:lpstr>
      <vt:lpstr>Budgetopfølgning</vt:lpstr>
      <vt:lpstr>råbalanceQ1 2023</vt:lpstr>
      <vt:lpstr>råbalance2022</vt:lpstr>
      <vt:lpstr>Råbalance Q3</vt:lpstr>
      <vt:lpstr>råbalance</vt:lpstr>
      <vt:lpstr>råbalance Q1</vt:lpstr>
      <vt:lpstr>Råbalance 310722</vt:lpstr>
      <vt:lpstr>Projektfiltre Q1</vt:lpstr>
      <vt:lpstr>Coronaøkonomi</vt:lpstr>
      <vt:lpstr>55 Nord</vt:lpstr>
      <vt:lpstr>Budget for landsmødet</vt:lpstr>
      <vt:lpstr>Stævner og lejre + kurser</vt:lpstr>
      <vt:lpstr>Budgetberegninger</vt:lpstr>
      <vt:lpstr>Råbalance 2019</vt:lpstr>
      <vt:lpstr>Råbalance 2018</vt:lpstr>
      <vt:lpstr>Råbalance 2017</vt:lpstr>
      <vt:lpstr>Råbalance 2016</vt:lpstr>
      <vt:lpstr>Råbalance 2015</vt:lpstr>
      <vt:lpstr>Råbalance 2014</vt:lpstr>
      <vt:lpstr>Råbalance 2013</vt:lpstr>
      <vt:lpstr>Råbalance 2012</vt:lpstr>
      <vt:lpstr>Råbalance 2011</vt:lpstr>
      <vt:lpstr>noter</vt:lpstr>
      <vt:lpstr>Budgetopfølgning!Print_Area</vt:lpstr>
      <vt:lpstr>Budgetopfølgning!X</vt:lpstr>
    </vt:vector>
  </TitlesOfParts>
  <Manager/>
  <Company>Deloitte Touche Tohmatsu Services,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cdalmosepedersen</dc:creator>
  <cp:keywords/>
  <dc:description/>
  <cp:lastModifiedBy>Stefan Buntzen</cp:lastModifiedBy>
  <cp:revision/>
  <dcterms:created xsi:type="dcterms:W3CDTF">2010-01-08T12:06:35Z</dcterms:created>
  <dcterms:modified xsi:type="dcterms:W3CDTF">2023-05-12T16:16:57Z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0x010100E4A2891621B0E74E8B330B4C0509CBB2</vt:lpwstr>
  </property>
  <property fmtid="{D5CDD505-2E9C-101B-9397-08002B2CF9AE}" pid="3" name="MediaServiceImageTags">
    <vt:lpwstr/>
  </property>
</Properties>
</file>